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195" windowHeight="8640" firstSheet="1" activeTab="3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<sst xmlns="http://schemas.openxmlformats.org/spreadsheetml/2006/main" count="1033" uniqueCount="556">
  <si>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</si>
  <si>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</si>
  <si>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</si>
  <si>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</si>
  <si>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</si>
  <si>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</si>
  <si>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</si>
  <si>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</si>
  <si>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</si>
  <si>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</si>
  <si>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</si>
  <si>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</si>
  <si>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</si>
  <si>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</si>
  <si>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</si>
  <si>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</si>
  <si>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</si>
  <si>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</si>
  <si>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</si>
  <si>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</si>
  <si>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</si>
  <si>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</si>
  <si>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</si>
  <si>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</si>
  <si>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</si>
  <si>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</si>
  <si>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</si>
  <si>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</si>
  <si>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</si>
  <si>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</si>
  <si>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 xml:space="preserve">Сельская администрация муниципального образования "Надвинское сельское поселение"                                                                                                                                                                         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</si>
  <si>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</si>
  <si>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</si>
  <si>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</si>
  <si>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</si>
  <si>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</si>
  <si>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</si>
  <si>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</si>
  <si>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</si>
  <si>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</si>
  <si>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</si>
  <si>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</si>
  <si>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</si>
  <si>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</si>
  <si>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</si>
  <si>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</si>
  <si>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</si>
  <si>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</si>
  <si>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</si>
  <si>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Земельный налог (по обязательствам, возникшим  до 1 января 2006 года), мобилизуемый на  территориях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</si>
  <si>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</si>
  <si>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</si>
  <si>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</si>
  <si>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</si>
  <si>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</si>
  <si>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Прочие выплаты</t>
  </si>
  <si>
    <t xml:space="preserve">   Начисления на выплаты по оплате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</si>
  <si>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</si>
  <si>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</si>
  <si>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</si>
  <si>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</si>
  <si>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</si>
  <si>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</si>
  <si>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</si>
  <si>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</si>
  <si>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</si>
  <si>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</si>
  <si>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</si>
  <si>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</si>
  <si>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</si>
  <si>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</si>
  <si>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</si>
  <si>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</si>
  <si>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</si>
  <si>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</si>
  <si>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</si>
  <si>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</si>
  <si>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</si>
  <si>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00008000000000000000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</si>
  <si>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</si>
  <si>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</si>
  <si>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</si>
  <si>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</si>
  <si>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</si>
  <si>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</si>
  <si>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</si>
  <si>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</si>
  <si>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</si>
  <si>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</si>
  <si>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</si>
  <si>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</si>
  <si>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</si>
  <si>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</si>
  <si>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>Увеличение остатков средств бюджетов</t>
  </si>
  <si>
    <t>00008000000000000510</t>
  </si>
  <si>
    <t>00008020100020000510</t>
  </si>
  <si>
    <t>Уменьшение остатков средств бюджетов</t>
  </si>
  <si>
    <t>00008000000000000610</t>
  </si>
  <si>
    <t>00408020100020000610</t>
  </si>
  <si>
    <t xml:space="preserve"> </t>
  </si>
  <si>
    <t xml:space="preserve">   Пеня на земельный налог (по обязательствам, возникшим  до 1 января 2006 года), мобилизуемый на  территориях поселений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</si>
  <si>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</si>
  <si>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</si>
  <si>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</si>
  <si>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866 05 02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</si>
  <si>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</si>
  <si>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</si>
  <si>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</si>
  <si>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</si>
  <si>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</si>
  <si>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</si>
  <si>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Увеличение стоимости О.С.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</si>
  <si>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</si>
  <si>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</si>
  <si>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</si>
  <si>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</si>
  <si>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</si>
  <si>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</si>
  <si>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</si>
  <si>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Резервные фонды     </t>
    </r>
    <r>
      <rPr>
        <b/>
        <sz val="12"/>
        <rFont val="Arial"/>
        <family val="2"/>
      </rPr>
      <t>Итого:</t>
    </r>
  </si>
  <si>
    <r>
      <t xml:space="preserve">Обеспечение пожарной безопасности     </t>
    </r>
    <r>
      <rPr>
        <b/>
        <sz val="12"/>
        <rFont val="Arial"/>
        <family val="2"/>
      </rPr>
      <t>Итого:</t>
    </r>
  </si>
  <si>
    <r>
      <t xml:space="preserve">Коммунальне хозяйство     </t>
    </r>
    <r>
      <rPr>
        <b/>
        <sz val="12"/>
        <rFont val="Arial"/>
        <family val="2"/>
      </rPr>
      <t>Итого:</t>
    </r>
  </si>
  <si>
    <r>
      <t xml:space="preserve">Благоустройство     </t>
    </r>
    <r>
      <rPr>
        <b/>
        <sz val="12"/>
        <rFont val="Arial"/>
        <family val="2"/>
      </rPr>
      <t>Итого:</t>
    </r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</si>
  <si>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</si>
  <si>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</si>
  <si>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</si>
  <si>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</si>
  <si>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</si>
  <si>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</si>
  <si>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182.106010301.02.000.110</t>
  </si>
  <si>
    <t>182.106060131.02.000.110</t>
  </si>
  <si>
    <t>182.106060231.02.000.110</t>
  </si>
  <si>
    <t>182.106060231.03.000.110</t>
  </si>
  <si>
    <t>866.20202999.10.0000.151</t>
  </si>
  <si>
    <t>866.20203024.10.0000.151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</si>
  <si>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</si>
  <si>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</si>
  <si>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</si>
  <si>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</si>
  <si>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Прочие мероприятия по благоустройству городских округов и поселений</t>
  </si>
  <si>
    <t>600 05 00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</si>
  <si>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</si>
  <si>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</si>
  <si>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</si>
  <si>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</si>
  <si>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</si>
  <si>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</si>
  <si>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</si>
  <si>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</si>
  <si>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</si>
  <si>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</si>
  <si>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возврат платежки</t>
  </si>
  <si>
    <t>866. 0501. 3505000. 500. 225</t>
  </si>
  <si>
    <t>866. 0502. 7950100. 500. 226</t>
  </si>
  <si>
    <t>866. 0503. 6000500. 500. 226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</si>
  <si>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</si>
  <si>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</si>
  <si>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</si>
  <si>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</si>
  <si>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</si>
  <si>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Прочие работы и услуги</t>
  </si>
  <si>
    <t>Организация и содержание мест захоронения</t>
  </si>
  <si>
    <t>600 04 00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</si>
  <si>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</si>
  <si>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</si>
  <si>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</si>
  <si>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</si>
  <si>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</si>
  <si>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</si>
  <si>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</si>
  <si>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</si>
  <si>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</si>
  <si>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</si>
  <si>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</si>
  <si>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</si>
  <si>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</si>
  <si>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t>Резервный фонд местных администраций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</si>
  <si>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</si>
  <si>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>Доходы от продажи земельных участков, государственная собственность на которые неразграничена и которые расположены в границах поселений</t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</si>
  <si>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</si>
  <si>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</si>
  <si>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</si>
  <si>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866. 0203. 0013601. 500. 310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</si>
  <si>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</si>
  <si>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</si>
  <si>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</si>
  <si>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</si>
  <si>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</si>
  <si>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t>866. 0801. 4409901. 001. 212</t>
  </si>
  <si>
    <t>866. 0801. 4409901. 001. 221</t>
  </si>
  <si>
    <t xml:space="preserve"> Уплата налогов в связи с отменой льгот </t>
  </si>
  <si>
    <t>442 99 02</t>
  </si>
  <si>
    <t>866. 0801. 4429902. 001. 211</t>
  </si>
  <si>
    <t>442 99 03</t>
  </si>
  <si>
    <t>866. 0801.4429903.001.290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</si>
  <si>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</si>
  <si>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</si>
  <si>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 xml:space="preserve">Разовая материальная помощь к отпуску работникам библиотечных учреждений 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</si>
  <si>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</si>
  <si>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</si>
  <si>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</si>
  <si>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</si>
  <si>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</si>
  <si>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</si>
  <si>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 xml:space="preserve">                                                                                                                                                 </t>
  </si>
  <si>
    <t>866. 0203. 0013601. 240. 226</t>
  </si>
  <si>
    <t>866. 0503. 6000400. 240. 226</t>
  </si>
  <si>
    <t>866. 0503. 6000500. 240. 340</t>
  </si>
  <si>
    <t>866. 0801. 4429900. 001. 225</t>
  </si>
  <si>
    <t>866. 0801. 4429900. 001. 226</t>
  </si>
  <si>
    <t>866. 0801. 4429900. 001. 290</t>
  </si>
  <si>
    <t>866. 0801. 4429900. 001. 310</t>
  </si>
  <si>
    <t>866. 0801. 4429900. 001. 340</t>
  </si>
  <si>
    <t>Уплата налога на имущество организаций и земельного налога</t>
  </si>
  <si>
    <t>Уплата прочих налогов, сборов и иных платежей</t>
  </si>
  <si>
    <t>866. 0801. 4429900. 001. 241</t>
  </si>
  <si>
    <t>866. 0801. 4429900. 851. 290</t>
  </si>
  <si>
    <t>866. 0801. 4429900. 852.290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</si>
  <si>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</si>
  <si>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</si>
  <si>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</si>
  <si>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</si>
  <si>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</si>
  <si>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866. 0502. 1020102. 450. 225</t>
  </si>
  <si>
    <t>866. 0502. 1020102. 450. 226</t>
  </si>
  <si>
    <t xml:space="preserve">   Работы, по содержанию имущества</t>
  </si>
  <si>
    <t>866. 0502. 1020102. 450. 310</t>
  </si>
  <si>
    <t>866. 0502. 1020102. 450. 340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</si>
  <si>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</si>
  <si>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</si>
  <si>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</si>
  <si>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</si>
  <si>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</si>
  <si>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</si>
  <si>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</si>
  <si>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</si>
  <si>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</si>
  <si>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</si>
  <si>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</si>
  <si>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</si>
  <si>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</si>
  <si>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851.11406013.10.0000.430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</si>
  <si>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</si>
  <si>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</si>
  <si>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</si>
  <si>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</si>
  <si>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</si>
  <si>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</si>
  <si>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</si>
  <si>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</si>
  <si>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</si>
  <si>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866. 0503. 6000400. 240. 340</t>
  </si>
  <si>
    <t>Увеличение стоимости материальных запасов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</si>
  <si>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</si>
  <si>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</si>
  <si>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</si>
  <si>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</si>
  <si>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Доходы от реализации имущества, находящегося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в части реализации основных средств по указанному имуществу</t>
  </si>
  <si>
    <t>866.11402052.10.0000.410</t>
  </si>
  <si>
    <t>866 01 11</t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</si>
  <si>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</si>
  <si>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</si>
  <si>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</si>
  <si>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</si>
  <si>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</si>
  <si>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</si>
  <si>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</si>
  <si>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</si>
  <si>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</si>
  <si>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</si>
  <si>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</si>
  <si>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70 0 1011</t>
  </si>
  <si>
    <t>Организация и проведение выборов и референдумов</t>
  </si>
  <si>
    <t>866 01 07</t>
  </si>
  <si>
    <r>
      <t xml:space="preserve">Обеспечение проведение выборов и референдумов                                                                                          </t>
    </r>
    <r>
      <rPr>
        <b/>
        <i/>
        <sz val="15"/>
        <rFont val="Arial"/>
        <family val="2"/>
      </rPr>
      <t xml:space="preserve">                                  </t>
    </r>
    <r>
      <rPr>
        <b/>
        <i/>
        <sz val="12"/>
        <rFont val="Arial"/>
        <family val="2"/>
      </rPr>
      <t>Итого:</t>
    </r>
  </si>
  <si>
    <t>Руководство и управление в сфере установленных функций органов местного самоуправления</t>
  </si>
  <si>
    <t>866. 0107. 7001011.880.290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</si>
  <si>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</si>
  <si>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</si>
  <si>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</si>
  <si>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</si>
  <si>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66 0 1345</t>
  </si>
  <si>
    <t>Подготовка объектов ЖКХ к зиме</t>
  </si>
  <si>
    <t>866. 0502. 6601345. 240. 225</t>
  </si>
  <si>
    <t>866. 0502. 6601345. 240. 340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</si>
  <si>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</si>
  <si>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</si>
  <si>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</si>
  <si>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</si>
  <si>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866 01 02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</si>
  <si>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</si>
  <si>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</si>
  <si>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</si>
  <si>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</si>
  <si>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Мероприятия в области водоснабжения и водоотведения поселения</t>
  </si>
  <si>
    <t>66 0 1347</t>
  </si>
  <si>
    <t>866. 0502. 6601347. 240. 226</t>
  </si>
  <si>
    <t>Глава муниципального образования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</si>
  <si>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</si>
  <si>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</si>
  <si>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</si>
  <si>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</si>
  <si>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Земельный   налог с организаций,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</si>
  <si>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</si>
  <si>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   Дотации бюджетам сельских поселений на выравнивание бюджетной обеспеченности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</si>
  <si>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</si>
  <si>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</si>
  <si>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Субвенции бюджетам сельских поселений на выполнение передаваемых полномочий субъектов Российской Федерации</t>
  </si>
  <si>
    <t xml:space="preserve">   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</si>
  <si>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 xml:space="preserve">  Земельный   налог с физических лиц, обладающих земельным участком, расположенным в границах сельских поселений</t>
  </si>
  <si>
    <t>866. 0104. 6601010. 122. 212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</si>
  <si>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</si>
  <si>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</si>
  <si>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</si>
  <si>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</si>
  <si>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</si>
  <si>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</si>
  <si>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</si>
  <si>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866. 0503. 6607005. 244. 310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</si>
  <si>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</si>
  <si>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</si>
  <si>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</si>
  <si>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</si>
  <si>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</si>
  <si>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</si>
  <si>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</si>
  <si>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</si>
  <si>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</si>
  <si>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</si>
  <si>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</si>
  <si>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</si>
  <si>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</si>
  <si>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</si>
  <si>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</si>
  <si>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</si>
  <si>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</si>
  <si>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</si>
  <si>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</si>
  <si>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</si>
  <si>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</si>
  <si>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</si>
  <si>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</si>
  <si>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</si>
  <si>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</si>
  <si>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</si>
  <si>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</si>
  <si>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</si>
  <si>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Культура, кинематография                                                                             Итого: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</si>
  <si>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</si>
  <si>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</si>
  <si>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</si>
  <si>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высшего должностного лица субъекта Российской Федерации и муниципального образования            </t>
    </r>
    <r>
      <rPr>
        <b/>
        <sz val="12"/>
        <rFont val="Arial"/>
        <family val="2"/>
      </rPr>
      <t>Итого:</t>
    </r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</si>
  <si>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</si>
  <si>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</si>
  <si>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Другие общегосударственные вопросы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</si>
  <si>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</si>
  <si>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</si>
  <si>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</si>
  <si>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</si>
  <si>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</si>
  <si>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866. 0104. 6601110100. 244. 290</t>
  </si>
  <si>
    <t>866. 0104. 6601110100. 244. 310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</si>
  <si>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</si>
  <si>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</si>
  <si>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</si>
  <si>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</si>
  <si>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</si>
  <si>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866. 0310.6601311290. 244. 340</t>
  </si>
  <si>
    <t>Озеленение территории</t>
  </si>
  <si>
    <t>Организация и содержание мест захоронения (кладбищ)</t>
  </si>
  <si>
    <t>Полномочия поселений по обеспечению населения услугами учреждений культуры, переданные муниципальному району в соответствии с Соглашением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</si>
  <si>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</si>
  <si>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Прочие расходы(уплата налога на имущество)</t>
  </si>
  <si>
    <t>ИТОГО:</t>
  </si>
  <si>
    <t>10</t>
  </si>
  <si>
    <t>851 113</t>
  </si>
  <si>
    <t>852 117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</si>
  <si>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</si>
  <si>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</si>
  <si>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>Глава сельского поселения____________________ Васькин Р.В.
Главный бухгалтер___________________Сиверкина Г.И.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</si>
  <si>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</si>
  <si>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</si>
  <si>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</si>
  <si>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МО "Надвинское сельское поселение"</t>
  </si>
  <si>
    <t>по ОКПО</t>
  </si>
  <si>
    <t>Наименование бюджета</t>
  </si>
  <si>
    <t>Надвинское сельское поселение Клетнянского района Брянской области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</si>
  <si>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</si>
  <si>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</si>
  <si>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</si>
  <si>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</si>
  <si>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</si>
  <si>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</si>
  <si>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</si>
  <si>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</si>
  <si>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</si>
  <si>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</si>
  <si>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</si>
  <si>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</si>
  <si>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</si>
  <si>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</si>
  <si>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</si>
  <si>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</si>
  <si>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</si>
  <si>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</si>
  <si>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</si>
  <si>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</si>
  <si>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</si>
  <si>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</si>
  <si>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</si>
  <si>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</si>
  <si>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</si>
  <si>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</si>
  <si>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</si>
  <si>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</si>
  <si>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</si>
  <si>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</si>
  <si>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</si>
  <si>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</si>
  <si>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</si>
  <si>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</si>
  <si>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</si>
  <si>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</si>
  <si>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</si>
  <si>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</si>
  <si>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</si>
  <si>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</si>
  <si>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</si>
  <si>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</si>
  <si>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</si>
  <si>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</si>
  <si>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</si>
  <si>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</si>
  <si>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</si>
  <si>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</si>
  <si>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</si>
  <si>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</si>
  <si>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</si>
  <si>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</si>
  <si>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</si>
  <si>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</si>
  <si>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</si>
  <si>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</si>
  <si>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</si>
  <si>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</si>
  <si>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</si>
  <si>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</si>
  <si>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</si>
  <si>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</si>
  <si>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</si>
  <si>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</si>
  <si>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</si>
  <si>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</si>
  <si>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</si>
  <si>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</si>
  <si>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Глава Надвинского сельского поселения</t>
  </si>
  <si>
    <t>Р.В.Васькин</t>
  </si>
  <si>
    <t>(подпись)</t>
  </si>
  <si>
    <t>(расшифровка подписи)</t>
  </si>
  <si>
    <t>Исполнитель Г.И. Сиверкина</t>
  </si>
  <si>
    <t>866 04 06</t>
  </si>
  <si>
    <t>866 2 02 15001 10 0000 151</t>
  </si>
  <si>
    <t>866 2 02 15002 10 0000 151</t>
  </si>
  <si>
    <t>866 2 02 35118 10 0000 151</t>
  </si>
  <si>
    <t>866 2 02 40014 10 0000 151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</si>
  <si>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</si>
  <si>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</si>
  <si>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</si>
  <si>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</si>
  <si>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</si>
  <si>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</si>
  <si>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00 0 00 10120</t>
  </si>
  <si>
    <t>866. 0111. 0000010120. 870. 290</t>
  </si>
  <si>
    <t>00 0 00 10550</t>
  </si>
  <si>
    <t>866. 0801. 0000010550.244. 225</t>
  </si>
  <si>
    <t>866. 0801. 0000010550.244. 226</t>
  </si>
  <si>
    <t>866. 0801. 0000010550.851. 290</t>
  </si>
  <si>
    <t>00 0 00 10570</t>
  </si>
  <si>
    <t>866. 0801. 0000010570. 540. 251</t>
  </si>
  <si>
    <t>00 0 00 14210</t>
  </si>
  <si>
    <t>866.0804.0000014210.540.251</t>
  </si>
  <si>
    <t>182 1 05 03010 01 4000 110</t>
  </si>
  <si>
    <t>182 1 01 02010 01 0000 110</t>
  </si>
  <si>
    <t>182 1 01 02030 01 0000 110</t>
  </si>
  <si>
    <t>182 1 06 01030 10 0000 110</t>
  </si>
  <si>
    <t>866. 0503. 0000070030. 244. 310</t>
  </si>
  <si>
    <t xml:space="preserve">иные расходы на приобретение (изготовление) объектов относящихся к основным средствам </t>
  </si>
  <si>
    <t>12580</t>
  </si>
  <si>
    <t>866 1 17 01050 10 0000 180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</si>
  <si>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</si>
  <si>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</si>
  <si>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</si>
  <si>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</si>
  <si>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</si>
  <si>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</si>
  <si>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866. 0104. 6601181410. 853. 290</t>
  </si>
  <si>
    <t>866. 0102. 6601180010. 121. 211</t>
  </si>
  <si>
    <t>866. 0102. 6601180010. 129. 213</t>
  </si>
  <si>
    <t>866. 0104. 6601180040. 121. 211</t>
  </si>
  <si>
    <t>866. 0104. 6601180040. 129. 213</t>
  </si>
  <si>
    <t>866. 0104. 6601180040. 244. 221</t>
  </si>
  <si>
    <t>866. 0104. 6601180040. 244. 223</t>
  </si>
  <si>
    <t>866. 0104. 6601180040. 244. 225</t>
  </si>
  <si>
    <t>866. 0104. 6601180040. 244. 226</t>
  </si>
  <si>
    <t>866. 0104. 6601180040. 244. 340</t>
  </si>
  <si>
    <t>866. 0104. 6601180040. 851. 290</t>
  </si>
  <si>
    <t>866. 0104. 6601180040. 852. 290</t>
  </si>
  <si>
    <t>866. 0104. 6601180040. 853. 290</t>
  </si>
  <si>
    <t>866. 0106. 6601184200. 540. 251</t>
  </si>
  <si>
    <t>866. 0113.6601180900. 244. 226</t>
  </si>
  <si>
    <t>866. 0113. 6601180920. 244. 223</t>
  </si>
  <si>
    <t>866. 0113.6601184220. 540. 251</t>
  </si>
  <si>
    <t>866. 0203. 6601251180. 121. 211</t>
  </si>
  <si>
    <t>866. 0203. 6601251180. 129. 213</t>
  </si>
  <si>
    <t>866. 0203. 6601251180. 244. 340</t>
  </si>
  <si>
    <t>866. 0310. 6601381140. 244. 226</t>
  </si>
  <si>
    <t>866. 0406. 6601683300. 244. 226</t>
  </si>
  <si>
    <t>866. 0409. 6601483740. 244. 225</t>
  </si>
  <si>
    <t>866. 0409. 6601483740. 244. 226</t>
  </si>
  <si>
    <t>866. 0501. 6601583760. 244. 340</t>
  </si>
  <si>
    <t>866. 0503. 6601581690. 244. 223</t>
  </si>
  <si>
    <t>866. 0503. 6601581690. 244. 340</t>
  </si>
  <si>
    <t>866. 0503. 6601581700. 244. 225</t>
  </si>
  <si>
    <t>866. 0503. 6601581710. 244. 225</t>
  </si>
  <si>
    <t>866. 1001. 6601782450. 321. 263</t>
  </si>
  <si>
    <t>866. 1102. 6601884290. 540. 251</t>
  </si>
  <si>
    <t>66 0 11 80040</t>
  </si>
  <si>
    <t>66 0 11 84200</t>
  </si>
  <si>
    <t>66 0 11 80040 850</t>
  </si>
  <si>
    <t>66 0 11 80900</t>
  </si>
  <si>
    <t>66 0 18 84290</t>
  </si>
  <si>
    <t>66 0 17 82450</t>
  </si>
  <si>
    <t>866. 0503. 6601581730. 244. 226</t>
  </si>
  <si>
    <t>66 0 15 81730</t>
  </si>
  <si>
    <t>66 0 15 881710</t>
  </si>
  <si>
    <t>66 0 15 881700</t>
  </si>
  <si>
    <t>66 0 15 881690</t>
  </si>
  <si>
    <t>66 0 15 883760</t>
  </si>
  <si>
    <t>66 0 14 83740</t>
  </si>
  <si>
    <t>66 0 16 83300</t>
  </si>
  <si>
    <t>66 0 13 81140</t>
  </si>
  <si>
    <t>66 0 12 51180</t>
  </si>
  <si>
    <t>66 0 11 84220</t>
  </si>
  <si>
    <t>66 0 11 80920</t>
  </si>
  <si>
    <t>66 0 11 80010</t>
  </si>
  <si>
    <t>182 1 05 03010 01 0000 110</t>
  </si>
  <si>
    <t>Информационное обеспечение деятельности органов местного самоуправления</t>
  </si>
  <si>
    <t>866. 0104. 6601180070. 244. 226</t>
  </si>
  <si>
    <t>66 0 11 80070</t>
  </si>
  <si>
    <t>66 0 11 81410</t>
  </si>
  <si>
    <t>866. 0503. 6601581690. 244. 225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</si>
  <si>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</si>
  <si>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</si>
  <si>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866. 0113. 6601180930. 851. 290</t>
  </si>
  <si>
    <t>на 01.07.2018 года</t>
  </si>
  <si>
    <t>866. 0409. 6601483740. 244. 340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</si>
</sst>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113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3"/>
      <name val="Arial"/>
      <family val="2"/>
    </font>
    <font>
      <i/>
      <sz val="10"/>
      <name val="Book Antiqu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i/>
      <sz val="15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1">
      <alignment horizontal="left" wrapText="1"/>
      <protection/>
    </xf>
    <xf numFmtId="0" fontId="85" fillId="0" borderId="2">
      <alignment horizontal="left" wrapText="1"/>
      <protection/>
    </xf>
    <xf numFmtId="0" fontId="85" fillId="0" borderId="3">
      <alignment horizontal="center"/>
      <protection/>
    </xf>
    <xf numFmtId="49" fontId="85" fillId="0" borderId="0">
      <alignment/>
      <protection/>
    </xf>
    <xf numFmtId="49" fontId="86" fillId="0" borderId="0">
      <alignment/>
      <protection/>
    </xf>
    <xf numFmtId="49" fontId="86" fillId="19" borderId="0">
      <alignment/>
      <protection/>
    </xf>
    <xf numFmtId="49" fontId="86" fillId="0" borderId="4">
      <alignment horizontal="center" vertical="center" wrapText="1"/>
      <protection/>
    </xf>
    <xf numFmtId="49" fontId="87" fillId="0" borderId="4">
      <alignment horizontal="center" vertical="center" wrapText="1"/>
      <protection/>
    </xf>
    <xf numFmtId="0" fontId="85" fillId="0" borderId="4">
      <alignment horizontal="center" vertical="center"/>
      <protection/>
    </xf>
    <xf numFmtId="4" fontId="86" fillId="0" borderId="4">
      <alignment horizontal="right" vertical="center" shrinkToFit="1"/>
      <protection/>
    </xf>
    <xf numFmtId="4" fontId="86" fillId="0" borderId="5">
      <alignment horizontal="right" vertical="center" shrinkToFit="1"/>
      <protection/>
    </xf>
    <xf numFmtId="4" fontId="86" fillId="0" borderId="6">
      <alignment horizontal="right" vertical="center" shrinkToFit="1"/>
      <protection/>
    </xf>
    <xf numFmtId="4" fontId="86" fillId="0" borderId="4">
      <alignment horizontal="center" vertical="center" shrinkToFit="1"/>
      <protection/>
    </xf>
    <xf numFmtId="4" fontId="86" fillId="0" borderId="6">
      <alignment horizontal="center" vertical="center" shrinkToFit="1"/>
      <protection/>
    </xf>
    <xf numFmtId="4" fontId="86" fillId="0" borderId="5">
      <alignment horizontal="center" vertical="center" shrinkToFit="1"/>
      <protection/>
    </xf>
    <xf numFmtId="0" fontId="86" fillId="19" borderId="3">
      <alignment horizontal="right" vertical="center" shrinkToFit="1"/>
      <protection/>
    </xf>
    <xf numFmtId="0" fontId="88" fillId="0" borderId="0">
      <alignment vertical="center"/>
      <protection/>
    </xf>
    <xf numFmtId="0" fontId="85" fillId="19" borderId="0">
      <alignment/>
      <protection/>
    </xf>
    <xf numFmtId="49" fontId="87" fillId="0" borderId="4">
      <alignment horizontal="center" vertical="center" wrapText="1"/>
      <protection/>
    </xf>
    <xf numFmtId="0" fontId="89" fillId="0" borderId="1">
      <alignment/>
      <protection/>
    </xf>
    <xf numFmtId="0" fontId="89" fillId="0" borderId="3">
      <alignment/>
      <protection/>
    </xf>
    <xf numFmtId="0" fontId="90" fillId="0" borderId="0">
      <alignment horizontal="center" vertical="center" wrapText="1"/>
      <protection/>
    </xf>
    <xf numFmtId="0" fontId="85" fillId="0" borderId="0">
      <alignment horizontal="center"/>
      <protection/>
    </xf>
    <xf numFmtId="0" fontId="85" fillId="0" borderId="3">
      <alignment horizontal="center" vertical="center"/>
      <protection/>
    </xf>
    <xf numFmtId="0" fontId="87" fillId="0" borderId="4">
      <alignment horizontal="center" vertical="center" wrapText="1"/>
      <protection/>
    </xf>
    <xf numFmtId="0" fontId="85" fillId="0" borderId="0">
      <alignment horizontal="center"/>
      <protection/>
    </xf>
    <xf numFmtId="0" fontId="86" fillId="0" borderId="3">
      <alignment horizontal="right" vertical="center" shrinkToFit="1"/>
      <protection/>
    </xf>
    <xf numFmtId="0" fontId="91" fillId="0" borderId="0">
      <alignment/>
      <protection/>
    </xf>
    <xf numFmtId="0" fontId="86" fillId="0" borderId="3">
      <alignment horizontal="center" vertical="center"/>
      <protection/>
    </xf>
    <xf numFmtId="49" fontId="85" fillId="0" borderId="0">
      <alignment horizontal="center" vertical="center" wrapText="1"/>
      <protection/>
    </xf>
    <xf numFmtId="0" fontId="85" fillId="0" borderId="3">
      <alignment horizontal="center" vertical="center"/>
      <protection/>
    </xf>
    <xf numFmtId="0" fontId="85" fillId="0" borderId="0">
      <alignment horizontal="center" vertical="center"/>
      <protection/>
    </xf>
    <xf numFmtId="49" fontId="86" fillId="0" borderId="3">
      <alignment horizontal="right" vertical="center" shrinkToFit="1"/>
      <protection/>
    </xf>
    <xf numFmtId="0" fontId="88" fillId="0" borderId="7">
      <alignment vertical="center"/>
      <protection/>
    </xf>
    <xf numFmtId="0" fontId="88" fillId="0" borderId="8">
      <alignment vertical="center"/>
      <protection/>
    </xf>
    <xf numFmtId="0" fontId="92" fillId="0" borderId="0">
      <alignment/>
      <protection/>
    </xf>
    <xf numFmtId="0" fontId="88" fillId="0" borderId="9">
      <alignment vertical="center"/>
      <protection/>
    </xf>
    <xf numFmtId="0" fontId="89" fillId="0" borderId="9">
      <alignment/>
      <protection/>
    </xf>
    <xf numFmtId="0" fontId="93" fillId="0" borderId="0">
      <alignment/>
      <protection/>
    </xf>
    <xf numFmtId="0" fontId="90" fillId="0" borderId="7">
      <alignment horizontal="center" vertical="center" wrapText="1"/>
      <protection/>
    </xf>
    <xf numFmtId="0" fontId="86" fillId="0" borderId="10">
      <alignment horizontal="center" vertical="center"/>
      <protection/>
    </xf>
    <xf numFmtId="0" fontId="86" fillId="0" borderId="7">
      <alignment horizontal="center" vertical="center"/>
      <protection/>
    </xf>
    <xf numFmtId="0" fontId="85" fillId="0" borderId="1">
      <alignment horizontal="center" vertical="center"/>
      <protection/>
    </xf>
    <xf numFmtId="0" fontId="85" fillId="0" borderId="0">
      <alignment horizontal="left" vertical="center"/>
      <protection/>
    </xf>
    <xf numFmtId="0" fontId="90" fillId="0" borderId="0">
      <alignment horizontal="left" vertical="center" wrapText="1"/>
      <protection/>
    </xf>
    <xf numFmtId="0" fontId="86" fillId="0" borderId="0">
      <alignment horizontal="left" vertical="center"/>
      <protection/>
    </xf>
    <xf numFmtId="0" fontId="86" fillId="0" borderId="0">
      <alignment horizontal="left" vertical="center"/>
      <protection/>
    </xf>
    <xf numFmtId="0" fontId="86" fillId="0" borderId="0">
      <alignment horizontal="center" vertical="center"/>
      <protection/>
    </xf>
    <xf numFmtId="0" fontId="86" fillId="0" borderId="11">
      <alignment horizontal="center" vertical="center" wrapText="1"/>
      <protection/>
    </xf>
    <xf numFmtId="0" fontId="86" fillId="0" borderId="11">
      <alignment horizontal="center" vertical="center"/>
      <protection/>
    </xf>
    <xf numFmtId="49" fontId="94" fillId="0" borderId="12">
      <alignment horizontal="left" vertical="center" wrapText="1"/>
      <protection/>
    </xf>
    <xf numFmtId="0" fontId="86" fillId="0" borderId="13">
      <alignment horizontal="left" vertical="center" wrapText="1"/>
      <protection/>
    </xf>
    <xf numFmtId="0" fontId="86" fillId="0" borderId="14">
      <alignment horizontal="left" vertical="center" wrapText="1"/>
      <protection/>
    </xf>
    <xf numFmtId="0" fontId="86" fillId="0" borderId="12">
      <alignment horizontal="left" vertical="center" wrapText="1"/>
      <protection/>
    </xf>
    <xf numFmtId="0" fontId="94" fillId="0" borderId="12">
      <alignment horizontal="left" vertical="center" wrapText="1"/>
      <protection/>
    </xf>
    <xf numFmtId="49" fontId="86" fillId="0" borderId="12">
      <alignment horizontal="left" vertical="center" wrapText="1"/>
      <protection/>
    </xf>
    <xf numFmtId="49" fontId="86" fillId="0" borderId="12">
      <alignment horizontal="left" vertical="center" wrapText="1" indent="1"/>
      <protection/>
    </xf>
    <xf numFmtId="49" fontId="95" fillId="0" borderId="12">
      <alignment horizontal="left" vertical="center" wrapText="1" indent="1"/>
      <protection/>
    </xf>
    <xf numFmtId="0" fontId="86" fillId="0" borderId="12">
      <alignment horizontal="left" vertical="center" wrapText="1" indent="2"/>
      <protection/>
    </xf>
    <xf numFmtId="49" fontId="86" fillId="0" borderId="12">
      <alignment horizontal="left" vertical="center" wrapText="1" indent="2"/>
      <protection/>
    </xf>
    <xf numFmtId="49" fontId="94" fillId="0" borderId="12">
      <alignment vertical="center" wrapText="1"/>
      <protection/>
    </xf>
    <xf numFmtId="0" fontId="96" fillId="0" borderId="12">
      <alignment wrapText="1"/>
      <protection/>
    </xf>
    <xf numFmtId="49" fontId="94" fillId="0" borderId="12">
      <alignment horizontal="left" vertical="center" wrapText="1" indent="1"/>
      <protection/>
    </xf>
    <xf numFmtId="49" fontId="86" fillId="0" borderId="12">
      <alignment horizontal="left" vertical="center" wrapText="1" indent="3"/>
      <protection/>
    </xf>
    <xf numFmtId="0" fontId="86" fillId="0" borderId="12">
      <alignment horizontal="left" vertical="center" wrapText="1" indent="1"/>
      <protection/>
    </xf>
    <xf numFmtId="49" fontId="97" fillId="0" borderId="12">
      <alignment horizontal="left" vertical="center" wrapText="1"/>
      <protection/>
    </xf>
    <xf numFmtId="49" fontId="86" fillId="0" borderId="12">
      <alignment vertical="center" wrapText="1"/>
      <protection/>
    </xf>
    <xf numFmtId="49" fontId="95" fillId="0" borderId="12">
      <alignment horizontal="left" vertical="center" wrapText="1"/>
      <protection/>
    </xf>
    <xf numFmtId="49" fontId="94" fillId="0" borderId="15">
      <alignment horizontal="left" vertical="center" wrapText="1"/>
      <protection/>
    </xf>
    <xf numFmtId="49" fontId="86" fillId="19" borderId="16">
      <alignment horizontal="left" vertical="center" wrapText="1"/>
      <protection/>
    </xf>
    <xf numFmtId="0" fontId="93" fillId="0" borderId="0">
      <alignment vertical="center"/>
      <protection/>
    </xf>
    <xf numFmtId="0" fontId="93" fillId="0" borderId="3">
      <alignment vertical="center"/>
      <protection/>
    </xf>
    <xf numFmtId="0" fontId="89" fillId="0" borderId="0">
      <alignment/>
      <protection/>
    </xf>
    <xf numFmtId="0" fontId="86" fillId="0" borderId="0">
      <alignment/>
      <protection/>
    </xf>
    <xf numFmtId="0" fontId="86" fillId="0" borderId="0">
      <alignment vertical="center"/>
      <protection/>
    </xf>
    <xf numFmtId="0" fontId="85" fillId="0" borderId="0">
      <alignment vertical="center"/>
      <protection/>
    </xf>
    <xf numFmtId="0" fontId="85" fillId="19" borderId="0">
      <alignment vertical="center"/>
      <protection/>
    </xf>
    <xf numFmtId="0" fontId="93" fillId="0" borderId="1">
      <alignment horizontal="left" vertical="center"/>
      <protection/>
    </xf>
    <xf numFmtId="0" fontId="93" fillId="0" borderId="4">
      <alignment horizontal="left" vertical="center" wrapText="1"/>
      <protection/>
    </xf>
    <xf numFmtId="0" fontId="93" fillId="0" borderId="3">
      <alignment horizontal="left" vertical="center"/>
      <protection/>
    </xf>
    <xf numFmtId="0" fontId="86" fillId="0" borderId="0">
      <alignment horizontal="center" vertical="center"/>
      <protection/>
    </xf>
    <xf numFmtId="49" fontId="94" fillId="0" borderId="0">
      <alignment horizontal="center" vertical="center" wrapText="1"/>
      <protection/>
    </xf>
    <xf numFmtId="0" fontId="86" fillId="0" borderId="4">
      <alignment horizontal="center" vertical="center" wrapText="1"/>
      <protection/>
    </xf>
    <xf numFmtId="0" fontId="86" fillId="0" borderId="4">
      <alignment horizontal="center" vertical="center"/>
      <protection/>
    </xf>
    <xf numFmtId="49" fontId="94" fillId="0" borderId="4">
      <alignment horizontal="center" vertical="center" wrapText="1"/>
      <protection/>
    </xf>
    <xf numFmtId="49" fontId="86" fillId="0" borderId="5">
      <alignment horizontal="center" vertical="center"/>
      <protection/>
    </xf>
    <xf numFmtId="49" fontId="86" fillId="0" borderId="6">
      <alignment horizontal="center" vertical="center"/>
      <protection/>
    </xf>
    <xf numFmtId="49" fontId="86" fillId="0" borderId="4">
      <alignment horizontal="center" vertical="center"/>
      <protection/>
    </xf>
    <xf numFmtId="0" fontId="85" fillId="0" borderId="5">
      <alignment/>
      <protection/>
    </xf>
    <xf numFmtId="49" fontId="94" fillId="0" borderId="4">
      <alignment horizontal="center" vertical="center"/>
      <protection/>
    </xf>
    <xf numFmtId="49" fontId="94" fillId="0" borderId="5">
      <alignment horizontal="center" vertical="center" wrapText="1"/>
      <protection/>
    </xf>
    <xf numFmtId="49" fontId="86" fillId="0" borderId="6">
      <alignment horizontal="center" vertical="center" wrapText="1"/>
      <protection/>
    </xf>
    <xf numFmtId="49" fontId="86" fillId="0" borderId="4">
      <alignment horizontal="center" vertical="center" wrapText="1"/>
      <protection/>
    </xf>
    <xf numFmtId="49" fontId="94" fillId="0" borderId="5">
      <alignment horizontal="center" vertical="center"/>
      <protection/>
    </xf>
    <xf numFmtId="0" fontId="86" fillId="0" borderId="5">
      <alignment horizontal="center" vertical="center"/>
      <protection/>
    </xf>
    <xf numFmtId="0" fontId="86" fillId="0" borderId="6">
      <alignment horizontal="center" vertical="center"/>
      <protection/>
    </xf>
    <xf numFmtId="49" fontId="94" fillId="0" borderId="6">
      <alignment horizontal="left" vertical="center"/>
      <protection/>
    </xf>
    <xf numFmtId="49" fontId="94" fillId="0" borderId="6">
      <alignment horizontal="center" vertical="center"/>
      <protection/>
    </xf>
    <xf numFmtId="49" fontId="86" fillId="0" borderId="3">
      <alignment horizontal="center" vertical="center"/>
      <protection/>
    </xf>
    <xf numFmtId="0" fontId="88" fillId="0" borderId="0">
      <alignment horizontal="center" vertical="center"/>
      <protection/>
    </xf>
    <xf numFmtId="0" fontId="85" fillId="0" borderId="0">
      <alignment/>
      <protection/>
    </xf>
    <xf numFmtId="0" fontId="86" fillId="19" borderId="0">
      <alignment/>
      <protection/>
    </xf>
    <xf numFmtId="0" fontId="90" fillId="0" borderId="0">
      <alignment horizontal="center" vertical="center" wrapText="1"/>
      <protection/>
    </xf>
    <xf numFmtId="0" fontId="85" fillId="0" borderId="0">
      <alignment horizontal="center" vertical="center"/>
      <protection/>
    </xf>
    <xf numFmtId="0" fontId="86" fillId="0" borderId="4">
      <alignment horizontal="center" vertical="center" wrapText="1"/>
      <protection/>
    </xf>
    <xf numFmtId="0" fontId="86" fillId="0" borderId="4">
      <alignment horizontal="center" vertical="center" wrapText="1"/>
      <protection/>
    </xf>
    <xf numFmtId="0" fontId="86" fillId="0" borderId="5">
      <alignment horizontal="center" vertical="center" wrapText="1"/>
      <protection/>
    </xf>
    <xf numFmtId="0" fontId="86" fillId="0" borderId="6">
      <alignment horizontal="center" vertical="center" wrapText="1"/>
      <protection/>
    </xf>
    <xf numFmtId="49" fontId="86" fillId="0" borderId="5">
      <alignment horizontal="center" vertical="center" wrapText="1"/>
      <protection/>
    </xf>
    <xf numFmtId="49" fontId="94" fillId="0" borderId="6">
      <alignment horizontal="left" vertical="center" wrapText="1"/>
      <protection/>
    </xf>
    <xf numFmtId="49" fontId="94" fillId="0" borderId="6">
      <alignment horizontal="center" vertical="center" wrapText="1"/>
      <protection/>
    </xf>
    <xf numFmtId="49" fontId="86" fillId="0" borderId="3">
      <alignment horizontal="center" vertical="center" wrapText="1"/>
      <protection/>
    </xf>
    <xf numFmtId="0" fontId="86" fillId="0" borderId="0">
      <alignment horizontal="center" vertical="center"/>
      <protection/>
    </xf>
    <xf numFmtId="0" fontId="86" fillId="19" borderId="0">
      <alignment horizontal="center" vertical="center"/>
      <protection/>
    </xf>
    <xf numFmtId="49" fontId="86" fillId="0" borderId="5">
      <alignment horizontal="left" vertical="center"/>
      <protection/>
    </xf>
    <xf numFmtId="0" fontId="85" fillId="0" borderId="1">
      <alignment horizontal="center"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98" fillId="26" borderId="17" applyNumberFormat="0" applyAlignment="0" applyProtection="0"/>
    <xf numFmtId="0" fontId="99" fillId="27" borderId="18" applyNumberFormat="0" applyAlignment="0" applyProtection="0"/>
    <xf numFmtId="0" fontId="100" fillId="27" borderId="17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19" applyNumberFormat="0" applyFill="0" applyAlignment="0" applyProtection="0"/>
    <xf numFmtId="0" fontId="102" fillId="0" borderId="20" applyNumberFormat="0" applyFill="0" applyAlignment="0" applyProtection="0"/>
    <xf numFmtId="0" fontId="103" fillId="0" borderId="21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22" applyNumberFormat="0" applyFill="0" applyAlignment="0" applyProtection="0"/>
    <xf numFmtId="0" fontId="105" fillId="28" borderId="23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08" fillId="30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0" fontId="34" fillId="31" borderId="24" applyNumberFormat="0" applyFont="0" applyAlignment="0" applyProtection="0"/>
    <xf numFmtId="9" fontId="0" fillId="0" borderId="0" applyFont="0" applyFill="0" applyBorder="0" applyAlignment="0" applyProtection="0"/>
    <xf numFmtId="0" fontId="110" fillId="0" borderId="25" applyNumberFormat="0" applyFill="0" applyAlignment="0" applyProtection="0"/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9" fontId="17" fillId="0" borderId="32" xfId="0" applyNumberFormat="1" applyFont="1" applyFill="1" applyBorder="1" applyAlignment="1">
      <alignment horizontal="center" shrinkToFit="1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4" fontId="11" fillId="0" borderId="32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Alignment="1">
      <alignment/>
    </xf>
    <xf numFmtId="0" fontId="11" fillId="0" borderId="32" xfId="0" applyFont="1" applyFill="1" applyBorder="1" applyAlignment="1">
      <alignment wrapText="1"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4" fontId="22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3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4" fontId="19" fillId="0" borderId="32" xfId="0" applyNumberFormat="1" applyFont="1" applyFill="1" applyBorder="1" applyAlignment="1" applyProtection="1">
      <alignment horizontal="right" shrinkToFit="1"/>
      <protection locked="0"/>
    </xf>
    <xf numFmtId="4" fontId="24" fillId="0" borderId="0" xfId="0" applyNumberFormat="1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6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4" fontId="27" fillId="0" borderId="32" xfId="0" applyNumberFormat="1" applyFont="1" applyFill="1" applyBorder="1" applyAlignment="1">
      <alignment horizontal="right" shrinkToFit="1"/>
    </xf>
    <xf numFmtId="4" fontId="27" fillId="0" borderId="32" xfId="0" applyNumberFormat="1" applyFont="1" applyFill="1" applyBorder="1" applyAlignment="1">
      <alignment horizontal="right" vertical="center" shrinkToFit="1"/>
    </xf>
    <xf numFmtId="0" fontId="1" fillId="0" borderId="32" xfId="0" applyFont="1" applyBorder="1" applyAlignment="1">
      <alignment horizontal="right" wrapText="1" indent="2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32" fillId="0" borderId="32" xfId="0" applyNumberFormat="1" applyFont="1" applyFill="1" applyBorder="1" applyAlignment="1">
      <alignment horizontal="right" wrapText="1"/>
    </xf>
    <xf numFmtId="0" fontId="30" fillId="0" borderId="32" xfId="0" applyFont="1" applyFill="1" applyBorder="1" applyAlignment="1">
      <alignment horizontal="center" wrapText="1"/>
    </xf>
    <xf numFmtId="4" fontId="33" fillId="0" borderId="32" xfId="0" applyNumberFormat="1" applyFont="1" applyFill="1" applyBorder="1" applyAlignment="1">
      <alignment horizontal="center" wrapText="1"/>
    </xf>
    <xf numFmtId="0" fontId="31" fillId="0" borderId="32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21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wrapText="1"/>
    </xf>
    <xf numFmtId="0" fontId="17" fillId="0" borderId="32" xfId="0" applyFont="1" applyFill="1" applyBorder="1" applyAlignment="1">
      <alignment horizontal="left" wrapText="1"/>
    </xf>
    <xf numFmtId="49" fontId="17" fillId="33" borderId="32" xfId="0" applyNumberFormat="1" applyFont="1" applyFill="1" applyBorder="1" applyAlignment="1">
      <alignment horizontal="center" shrinkToFit="1"/>
    </xf>
    <xf numFmtId="0" fontId="19" fillId="0" borderId="32" xfId="0" applyFont="1" applyFill="1" applyBorder="1" applyAlignment="1">
      <alignment horizontal="left" wrapText="1" indent="2"/>
    </xf>
    <xf numFmtId="4" fontId="33" fillId="33" borderId="32" xfId="0" applyNumberFormat="1" applyFont="1" applyFill="1" applyBorder="1" applyAlignment="1">
      <alignment horizontal="center" wrapText="1"/>
    </xf>
    <xf numFmtId="0" fontId="1" fillId="0" borderId="32" xfId="0" applyFont="1" applyBorder="1" applyAlignment="1">
      <alignment horizontal="right" vertical="top" wrapText="1" indent="2"/>
    </xf>
    <xf numFmtId="4" fontId="36" fillId="0" borderId="32" xfId="0" applyNumberFormat="1" applyFont="1" applyFill="1" applyBorder="1" applyAlignment="1">
      <alignment horizontal="right" vertical="center" shrinkToFi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7" fillId="0" borderId="32" xfId="0" applyNumberFormat="1" applyFont="1" applyFill="1" applyBorder="1" applyAlignment="1">
      <alignment horizontal="right" shrinkToFit="1"/>
    </xf>
    <xf numFmtId="0" fontId="38" fillId="0" borderId="32" xfId="183" applyFont="1" applyBorder="1" applyAlignment="1">
      <alignment/>
      <protection/>
    </xf>
    <xf numFmtId="0" fontId="38" fillId="0" borderId="32" xfId="175" applyFont="1" applyBorder="1" applyAlignment="1">
      <alignment horizontal="left" vertical="center" wrapText="1"/>
      <protection/>
    </xf>
    <xf numFmtId="4" fontId="10" fillId="0" borderId="32" xfId="183" applyNumberFormat="1" applyFont="1" applyBorder="1" applyAlignment="1">
      <alignment/>
      <protection/>
    </xf>
    <xf numFmtId="49" fontId="39" fillId="0" borderId="32" xfId="0" applyNumberFormat="1" applyFont="1" applyFill="1" applyBorder="1" applyAlignment="1" applyProtection="1">
      <alignment horizontal="center" shrinkToFit="1"/>
      <protection locked="0"/>
    </xf>
    <xf numFmtId="0" fontId="38" fillId="0" borderId="32" xfId="0" applyFont="1" applyFill="1" applyBorder="1" applyAlignment="1">
      <alignment horizontal="left" wrapText="1"/>
    </xf>
    <xf numFmtId="2" fontId="33" fillId="0" borderId="32" xfId="0" applyNumberFormat="1" applyFont="1" applyFill="1" applyBorder="1" applyAlignment="1">
      <alignment horizontal="center" shrinkToFit="1"/>
    </xf>
    <xf numFmtId="0" fontId="4" fillId="0" borderId="32" xfId="175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32" fillId="34" borderId="32" xfId="0" applyNumberFormat="1" applyFont="1" applyFill="1" applyBorder="1" applyAlignment="1">
      <alignment horizontal="right" wrapText="1"/>
    </xf>
    <xf numFmtId="4" fontId="26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0" fontId="7" fillId="0" borderId="32" xfId="0" applyFont="1" applyFill="1" applyBorder="1" applyAlignment="1">
      <alignment wrapText="1"/>
    </xf>
    <xf numFmtId="4" fontId="41" fillId="0" borderId="32" xfId="0" applyNumberFormat="1" applyFont="1" applyFill="1" applyBorder="1" applyAlignment="1" applyProtection="1">
      <alignment horizontal="right" shrinkToFit="1"/>
      <protection locked="0"/>
    </xf>
    <xf numFmtId="4" fontId="25" fillId="0" borderId="0" xfId="0" applyNumberFormat="1" applyFont="1" applyAlignment="1">
      <alignment horizontal="center"/>
    </xf>
    <xf numFmtId="4" fontId="17" fillId="0" borderId="32" xfId="0" applyNumberFormat="1" applyFont="1" applyFill="1" applyBorder="1" applyAlignment="1" applyProtection="1">
      <alignment horizontal="right" shrinkToFit="1"/>
      <protection locked="0"/>
    </xf>
    <xf numFmtId="0" fontId="3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 indent="2"/>
    </xf>
    <xf numFmtId="0" fontId="1" fillId="0" borderId="32" xfId="0" applyFont="1" applyFill="1" applyBorder="1" applyAlignment="1">
      <alignment wrapText="1"/>
    </xf>
    <xf numFmtId="0" fontId="42" fillId="0" borderId="32" xfId="0" applyFont="1" applyFill="1" applyBorder="1" applyAlignment="1">
      <alignment wrapText="1"/>
    </xf>
    <xf numFmtId="0" fontId="42" fillId="0" borderId="32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wrapText="1"/>
    </xf>
    <xf numFmtId="0" fontId="30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" fontId="10" fillId="34" borderId="32" xfId="0" applyNumberFormat="1" applyFont="1" applyFill="1" applyBorder="1" applyAlignment="1">
      <alignment horizontal="right" shrinkToFit="1"/>
    </xf>
    <xf numFmtId="49" fontId="7" fillId="34" borderId="32" xfId="0" applyNumberFormat="1" applyFont="1" applyFill="1" applyBorder="1" applyAlignment="1" applyProtection="1">
      <alignment horizontal="center" shrinkToFit="1"/>
      <protection locked="0"/>
    </xf>
    <xf numFmtId="49" fontId="7" fillId="34" borderId="32" xfId="0" applyNumberFormat="1" applyFont="1" applyFill="1" applyBorder="1" applyAlignment="1">
      <alignment horizontal="center" shrinkToFit="1"/>
    </xf>
    <xf numFmtId="0" fontId="7" fillId="0" borderId="32" xfId="0" applyFont="1" applyFill="1" applyBorder="1" applyAlignment="1">
      <alignment vertical="top" wrapText="1"/>
    </xf>
    <xf numFmtId="49" fontId="17" fillId="0" borderId="3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wrapText="1"/>
    </xf>
    <xf numFmtId="0" fontId="11" fillId="0" borderId="32" xfId="0" applyFont="1" applyFill="1" applyBorder="1" applyAlignment="1">
      <alignment horizontal="left" wrapText="1" indent="2"/>
    </xf>
    <xf numFmtId="0" fontId="31" fillId="34" borderId="32" xfId="0" applyFont="1" applyFill="1" applyBorder="1" applyAlignment="1">
      <alignment horizontal="left" wrapText="1"/>
    </xf>
    <xf numFmtId="2" fontId="33" fillId="0" borderId="32" xfId="0" applyNumberFormat="1" applyFont="1" applyFill="1" applyBorder="1" applyAlignment="1">
      <alignment horizontal="center" shrinkToFit="1"/>
    </xf>
    <xf numFmtId="49" fontId="17" fillId="0" borderId="32" xfId="0" applyNumberFormat="1" applyFont="1" applyFill="1" applyBorder="1" applyAlignment="1">
      <alignment horizontal="left" shrinkToFit="1"/>
    </xf>
    <xf numFmtId="0" fontId="40" fillId="0" borderId="32" xfId="0" applyFont="1" applyFill="1" applyBorder="1" applyAlignment="1">
      <alignment horizontal="left" wrapText="1"/>
    </xf>
    <xf numFmtId="0" fontId="45" fillId="0" borderId="32" xfId="0" applyFont="1" applyFill="1" applyBorder="1" applyAlignment="1">
      <alignment horizontal="right" wrapText="1"/>
    </xf>
    <xf numFmtId="4" fontId="46" fillId="0" borderId="32" xfId="0" applyNumberFormat="1" applyFont="1" applyFill="1" applyBorder="1" applyAlignment="1">
      <alignment horizontal="right" wrapText="1"/>
    </xf>
    <xf numFmtId="4" fontId="47" fillId="0" borderId="32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8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52" fillId="0" borderId="41" xfId="0" applyNumberFormat="1" applyFont="1" applyFill="1" applyBorder="1" applyAlignment="1">
      <alignment horizontal="left" vertical="center" wrapText="1"/>
    </xf>
    <xf numFmtId="49" fontId="52" fillId="0" borderId="32" xfId="0" applyNumberFormat="1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" fontId="49" fillId="0" borderId="32" xfId="0" applyNumberFormat="1" applyFont="1" applyFill="1" applyBorder="1" applyAlignment="1">
      <alignment horizontal="center" vertical="center"/>
    </xf>
    <xf numFmtId="4" fontId="22" fillId="0" borderId="32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49" fontId="51" fillId="0" borderId="36" xfId="0" applyNumberFormat="1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50" fillId="0" borderId="46" xfId="0" applyNumberFormat="1" applyFont="1" applyFill="1" applyBorder="1" applyAlignment="1">
      <alignment horizontal="center" vertical="center"/>
    </xf>
    <xf numFmtId="4" fontId="51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left" vertical="center" wrapText="1"/>
    </xf>
    <xf numFmtId="49" fontId="52" fillId="0" borderId="45" xfId="0" applyNumberFormat="1" applyFont="1" applyFill="1" applyBorder="1" applyAlignment="1">
      <alignment horizontal="center" vertical="center"/>
    </xf>
    <xf numFmtId="4" fontId="49" fillId="0" borderId="4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9" fontId="52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52" fillId="0" borderId="45" xfId="0" applyNumberFormat="1" applyFont="1" applyFill="1" applyBorder="1" applyAlignment="1">
      <alignment horizontal="center" vertical="center"/>
    </xf>
    <xf numFmtId="49" fontId="52" fillId="0" borderId="38" xfId="0" applyNumberFormat="1" applyFont="1" applyFill="1" applyBorder="1" applyAlignment="1">
      <alignment horizontal="center" vertical="center"/>
    </xf>
    <xf numFmtId="49" fontId="52" fillId="0" borderId="38" xfId="0" applyNumberFormat="1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52" fillId="0" borderId="41" xfId="0" applyNumberFormat="1" applyFont="1" applyFill="1" applyBorder="1" applyAlignment="1">
      <alignment horizontal="left" vertical="center" wrapText="1"/>
    </xf>
    <xf numFmtId="49" fontId="52" fillId="0" borderId="45" xfId="0" applyNumberFormat="1" applyFont="1" applyFill="1" applyBorder="1" applyAlignment="1">
      <alignment horizontal="center" vertical="center" wrapText="1"/>
    </xf>
    <xf numFmtId="4" fontId="53" fillId="0" borderId="46" xfId="0" applyNumberFormat="1" applyFont="1" applyFill="1" applyBorder="1" applyAlignment="1">
      <alignment horizontal="center" vertical="center"/>
    </xf>
    <xf numFmtId="4" fontId="24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53" fillId="0" borderId="47" xfId="0" applyNumberFormat="1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53" fillId="0" borderId="46" xfId="0" applyFont="1" applyFill="1" applyBorder="1" applyAlignment="1">
      <alignment horizontal="center" vertical="center"/>
    </xf>
    <xf numFmtId="4" fontId="53" fillId="0" borderId="32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19" fillId="0" borderId="32" xfId="0" applyFont="1" applyBorder="1" applyAlignment="1">
      <alignment horizontal="left" wrapText="1" indent="2"/>
    </xf>
    <xf numFmtId="0" fontId="11" fillId="0" borderId="32" xfId="0" applyFont="1" applyBorder="1" applyAlignment="1">
      <alignment horizontal="left" wrapText="1" indent="2"/>
    </xf>
    <xf numFmtId="3" fontId="45" fillId="0" borderId="32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vertical="center"/>
    </xf>
    <xf numFmtId="49" fontId="48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86" fillId="0" borderId="49" xfId="99" applyNumberFormat="1" applyBorder="1" applyProtection="1">
      <alignment vertical="center" wrapText="1"/>
      <protection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4" fontId="53" fillId="0" borderId="45" xfId="0" applyNumberFormat="1" applyFont="1" applyFill="1" applyBorder="1" applyAlignment="1">
      <alignment horizontal="center" vertical="center"/>
    </xf>
    <xf numFmtId="4" fontId="53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49" fontId="6" fillId="0" borderId="32" xfId="0" applyNumberFormat="1" applyFont="1" applyFill="1" applyBorder="1" applyAlignment="1">
      <alignment horizontal="center" shrinkToFit="1"/>
    </xf>
    <xf numFmtId="49" fontId="0" fillId="0" borderId="31" xfId="0" applyNumberFormat="1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4" fontId="53" fillId="0" borderId="40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49" fontId="52" fillId="0" borderId="41" xfId="0" applyNumberFormat="1" applyFont="1" applyFill="1" applyBorder="1" applyAlignment="1">
      <alignment vertical="center" wrapText="1"/>
    </xf>
    <xf numFmtId="49" fontId="52" fillId="0" borderId="38" xfId="0" applyNumberFormat="1" applyFont="1" applyFill="1" applyBorder="1" applyAlignment="1">
      <alignment horizontal="center" vertical="center"/>
    </xf>
    <xf numFmtId="49" fontId="52" fillId="0" borderId="38" xfId="0" applyNumberFormat="1" applyFont="1" applyFill="1" applyBorder="1" applyAlignment="1">
      <alignment horizontal="center" vertical="center" wrapText="1"/>
    </xf>
    <xf numFmtId="49" fontId="52" fillId="0" borderId="45" xfId="0" applyNumberFormat="1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/>
    </xf>
    <xf numFmtId="4" fontId="25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0" fontId="2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7" fillId="0" borderId="38" xfId="0" applyFont="1" applyFill="1" applyBorder="1" applyAlignment="1">
      <alignment horizontal="right" wrapText="1"/>
    </xf>
    <xf numFmtId="0" fontId="27" fillId="0" borderId="40" xfId="0" applyFont="1" applyFill="1" applyBorder="1" applyAlignment="1">
      <alignment horizontal="right" wrapText="1"/>
    </xf>
    <xf numFmtId="0" fontId="27" fillId="0" borderId="38" xfId="0" applyFont="1" applyFill="1" applyBorder="1" applyAlignment="1">
      <alignment horizontal="left" wrapText="1"/>
    </xf>
    <xf numFmtId="0" fontId="27" fillId="0" borderId="40" xfId="0" applyFont="1" applyFill="1" applyBorder="1" applyAlignment="1">
      <alignment horizontal="left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15" fillId="0" borderId="55" xfId="0" applyFont="1" applyFill="1" applyBorder="1" applyAlignment="1">
      <alignment horizontal="left" wrapText="1" indent="2"/>
    </xf>
    <xf numFmtId="0" fontId="15" fillId="0" borderId="56" xfId="0" applyFont="1" applyFill="1" applyBorder="1" applyAlignment="1">
      <alignment horizontal="left" wrapText="1" indent="2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2" fillId="34" borderId="48" xfId="0" applyFont="1" applyFill="1" applyBorder="1" applyAlignment="1">
      <alignment horizontal="center" vertical="center"/>
    </xf>
    <xf numFmtId="0" fontId="22" fillId="34" borderId="43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51" fillId="0" borderId="38" xfId="0" applyNumberFormat="1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</cellXfs>
  <cellStyles count="19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Заголовок 1" xfId="161"/>
    <cellStyle name="Заголовок 2" xfId="162"/>
    <cellStyle name="Заголовок 3" xfId="163"/>
    <cellStyle name="Заголовок 4" xfId="164"/>
    <cellStyle name="Итог" xfId="165"/>
    <cellStyle name="Контрольная ячейка" xfId="166"/>
    <cellStyle name="Название" xfId="167"/>
    <cellStyle name="Нейтральный" xfId="168"/>
    <cellStyle name="Обычный 10" xfId="169"/>
    <cellStyle name="Обычный 11" xfId="170"/>
    <cellStyle name="Обычный 12" xfId="171"/>
    <cellStyle name="Обычный 13" xfId="172"/>
    <cellStyle name="Обычный 14" xfId="173"/>
    <cellStyle name="Обычный 15" xfId="174"/>
    <cellStyle name="Обычный 2" xfId="175"/>
    <cellStyle name="Обычный 3" xfId="176"/>
    <cellStyle name="Обычный 4" xfId="177"/>
    <cellStyle name="Обычный 5" xfId="178"/>
    <cellStyle name="Обычный 6" xfId="179"/>
    <cellStyle name="Обычный 7" xfId="180"/>
    <cellStyle name="Обычный 8" xfId="181"/>
    <cellStyle name="Обычный 9" xfId="182"/>
    <cellStyle name="Обычный_Администраторы" xfId="183"/>
    <cellStyle name="Followed Hyperlink" xfId="184"/>
    <cellStyle name="Плохой" xfId="185"/>
    <cellStyle name="Пояснение" xfId="186"/>
    <cellStyle name="Примечание" xfId="187"/>
    <cellStyle name="Примечание 10" xfId="188"/>
    <cellStyle name="Примечание 11" xfId="189"/>
    <cellStyle name="Примечание 12" xfId="190"/>
    <cellStyle name="Примечание 13" xfId="191"/>
    <cellStyle name="Примечание 14" xfId="192"/>
    <cellStyle name="Примечание 15" xfId="193"/>
    <cellStyle name="Примечание 2" xfId="194"/>
    <cellStyle name="Примечание 3" xfId="195"/>
    <cellStyle name="Примечание 4" xfId="196"/>
    <cellStyle name="Примечание 5" xfId="197"/>
    <cellStyle name="Примечание 6" xfId="198"/>
    <cellStyle name="Примечание 7" xfId="199"/>
    <cellStyle name="Примечание 8" xfId="200"/>
    <cellStyle name="Примечание 9" xfId="201"/>
    <cellStyle name="Percent" xfId="202"/>
    <cellStyle name="Связанная ячейка" xfId="203"/>
    <cellStyle name="Текст предупреждения" xfId="204"/>
    <cellStyle name="Comma" xfId="205"/>
    <cellStyle name="Comma [0]" xfId="206"/>
    <cellStyle name="Хороший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>
        <v>1656756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>
        <v>3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="115" zoomScaleNormal="115" zoomScalePageLayoutView="0" workbookViewId="0" topLeftCell="A70">
      <pane xSplit="21795" topLeftCell="O1" activePane="topLeft" state="split"/>
      <selection pane="topLeft" activeCell="E88" sqref="E88"/>
      <selection pane="topRight" activeCell="P14" sqref="P14"/>
    </sheetView>
  </sheetViews>
  <sheetFormatPr defaultColWidth="9.00390625" defaultRowHeight="12.75"/>
  <cols>
    <col min="1" max="1" width="50.75390625" style="24" customWidth="1"/>
    <col min="2" max="2" width="6.75390625" style="24" customWidth="1"/>
    <col min="3" max="3" width="24.75390625" style="24" customWidth="1"/>
    <col min="4" max="4" width="17.625" style="24" customWidth="1"/>
    <col min="5" max="7" width="15.375" style="24" customWidth="1"/>
    <col min="8" max="8" width="15.375" style="23" customWidth="1"/>
    <col min="9" max="9" width="14.625" style="24" customWidth="1"/>
    <col min="10" max="10" width="15.125" style="24" hidden="1" customWidth="1"/>
    <col min="11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272" t="s">
        <v>10</v>
      </c>
      <c r="B2" s="272"/>
      <c r="C2" s="272"/>
      <c r="D2" s="272"/>
      <c r="E2" s="272"/>
      <c r="F2" s="272"/>
      <c r="G2" s="272"/>
      <c r="H2" s="5"/>
      <c r="I2" s="7" t="s">
        <v>0</v>
      </c>
    </row>
    <row r="3" spans="1:9" s="14" customFormat="1" ht="14.25">
      <c r="A3" s="283" t="s">
        <v>6</v>
      </c>
      <c r="B3" s="283"/>
      <c r="C3" s="283"/>
      <c r="D3" s="283"/>
      <c r="E3" s="283"/>
      <c r="F3" s="283"/>
      <c r="G3" s="283"/>
      <c r="H3" s="8" t="s">
        <v>1</v>
      </c>
      <c r="I3" s="9" t="s">
        <v>11</v>
      </c>
    </row>
    <row r="4" spans="1:9" s="14" customFormat="1" ht="14.25">
      <c r="A4" s="81"/>
      <c r="B4" s="81"/>
      <c r="C4" s="82" t="s">
        <v>554</v>
      </c>
      <c r="D4" s="81"/>
      <c r="E4" s="81"/>
      <c r="F4" s="81"/>
      <c r="G4" s="81"/>
      <c r="H4" s="8" t="s">
        <v>2</v>
      </c>
      <c r="I4" s="10" t="str">
        <f>C4</f>
        <v>на 01.07.2018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273" t="s">
        <v>30</v>
      </c>
      <c r="B6" s="274"/>
      <c r="C6" s="274"/>
      <c r="D6" s="274"/>
      <c r="E6" s="274"/>
      <c r="F6" s="274"/>
      <c r="G6" s="274"/>
      <c r="H6" s="40" t="s">
        <v>8</v>
      </c>
      <c r="I6" s="41"/>
    </row>
    <row r="7" spans="1:9" ht="15" customHeight="1">
      <c r="A7" s="282" t="s">
        <v>81</v>
      </c>
      <c r="B7" s="282"/>
      <c r="C7" s="282"/>
      <c r="D7" s="282"/>
      <c r="E7" s="282"/>
      <c r="F7" s="282"/>
      <c r="G7" s="282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9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4.25">
      <c r="A11" s="275" t="s">
        <v>12</v>
      </c>
      <c r="B11" s="275"/>
      <c r="C11" s="275"/>
      <c r="D11" s="275"/>
      <c r="E11" s="275"/>
      <c r="F11" s="275"/>
      <c r="G11" s="275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276" t="s">
        <v>4</v>
      </c>
      <c r="B13" s="278" t="s">
        <v>5</v>
      </c>
      <c r="C13" s="278" t="s">
        <v>13</v>
      </c>
      <c r="D13" s="280" t="s">
        <v>14</v>
      </c>
      <c r="E13" s="263" t="s">
        <v>15</v>
      </c>
      <c r="F13" s="264"/>
      <c r="G13" s="264"/>
      <c r="H13" s="265"/>
      <c r="I13" s="268" t="s">
        <v>20</v>
      </c>
    </row>
    <row r="14" spans="1:9" s="14" customFormat="1" ht="77.25" customHeight="1">
      <c r="A14" s="277"/>
      <c r="B14" s="279"/>
      <c r="C14" s="279"/>
      <c r="D14" s="281"/>
      <c r="E14" s="46" t="s">
        <v>16</v>
      </c>
      <c r="F14" s="45" t="s">
        <v>17</v>
      </c>
      <c r="G14" s="45" t="s">
        <v>18</v>
      </c>
      <c r="H14" s="45" t="s">
        <v>19</v>
      </c>
      <c r="I14" s="269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14" s="71" customFormat="1" ht="21" customHeight="1">
      <c r="A16" s="78" t="s">
        <v>44</v>
      </c>
      <c r="B16" s="69" t="s">
        <v>45</v>
      </c>
      <c r="C16" s="69"/>
      <c r="D16" s="70">
        <f aca="true" t="shared" si="0" ref="D16:I16">D18+D89</f>
        <v>3170655.1799999997</v>
      </c>
      <c r="E16" s="70">
        <f t="shared" si="0"/>
        <v>904214.03</v>
      </c>
      <c r="F16" s="70">
        <f t="shared" si="0"/>
        <v>0</v>
      </c>
      <c r="G16" s="70">
        <f t="shared" si="0"/>
        <v>0</v>
      </c>
      <c r="H16" s="70">
        <f t="shared" si="0"/>
        <v>904214.03</v>
      </c>
      <c r="I16" s="70">
        <f t="shared" si="0"/>
        <v>2266441.15</v>
      </c>
      <c r="J16" s="97">
        <f>D16-H16</f>
        <v>2266441.1499999994</v>
      </c>
      <c r="K16" s="267"/>
      <c r="L16" s="267"/>
      <c r="M16" s="261"/>
      <c r="N16" s="262"/>
    </row>
    <row r="17" spans="1:14" s="71" customFormat="1" ht="21" customHeight="1" hidden="1">
      <c r="A17" s="78"/>
      <c r="B17" s="69"/>
      <c r="C17" s="69"/>
      <c r="D17" s="70"/>
      <c r="E17" s="48"/>
      <c r="F17" s="70" t="s">
        <v>151</v>
      </c>
      <c r="G17" s="70"/>
      <c r="H17" s="70"/>
      <c r="I17" s="70"/>
      <c r="J17" s="74"/>
      <c r="K17" s="96"/>
      <c r="L17" s="96"/>
      <c r="M17" s="94"/>
      <c r="N17" s="95"/>
    </row>
    <row r="18" spans="1:12" s="71" customFormat="1" ht="21" customHeight="1">
      <c r="A18" s="77" t="s">
        <v>115</v>
      </c>
      <c r="B18" s="69" t="s">
        <v>45</v>
      </c>
      <c r="C18" s="69"/>
      <c r="D18" s="79">
        <f>D21+D26+D32+D38+D46+D48+D55+D59+D62</f>
        <v>470800</v>
      </c>
      <c r="E18" s="79">
        <f>E21+E38+E46+E48+E55+E59+E61</f>
        <v>140152.07</v>
      </c>
      <c r="F18" s="79">
        <f>F21+F38+F46+F48+F55+F59+F61</f>
        <v>0</v>
      </c>
      <c r="G18" s="79">
        <f>G21+G38+G46+G48+G55+G59+G61</f>
        <v>0</v>
      </c>
      <c r="H18" s="79">
        <f>H21+H38+H46+H48+H55+H59+H61</f>
        <v>140152.07</v>
      </c>
      <c r="I18" s="79">
        <f>I21+I26+I32+I38+I46+I48+I55+I59+I62</f>
        <v>330647.93</v>
      </c>
      <c r="J18" s="80"/>
      <c r="K18" s="260"/>
      <c r="L18" s="260"/>
    </row>
    <row r="19" spans="1:12" s="71" customFormat="1" ht="77.25" customHeight="1">
      <c r="A19" s="119" t="s">
        <v>247</v>
      </c>
      <c r="B19" s="33" t="s">
        <v>45</v>
      </c>
      <c r="C19" s="226" t="s">
        <v>482</v>
      </c>
      <c r="D19" s="48">
        <v>23000</v>
      </c>
      <c r="E19" s="48">
        <f>333.76+810.92+894.48+499.92+607.16+774.52</f>
        <v>3920.7599999999998</v>
      </c>
      <c r="F19" s="48">
        <v>0</v>
      </c>
      <c r="G19" s="48">
        <v>0</v>
      </c>
      <c r="H19" s="48">
        <f>SUM(E19:G19)</f>
        <v>3920.7599999999998</v>
      </c>
      <c r="I19" s="48">
        <f>D19-E19</f>
        <v>19079.24</v>
      </c>
      <c r="J19" s="80"/>
      <c r="K19" s="121"/>
      <c r="L19" s="121"/>
    </row>
    <row r="20" spans="1:12" s="71" customFormat="1" ht="39.75" customHeight="1">
      <c r="A20" s="119" t="s">
        <v>377</v>
      </c>
      <c r="B20" s="33" t="s">
        <v>45</v>
      </c>
      <c r="C20" s="232" t="s">
        <v>483</v>
      </c>
      <c r="D20" s="48">
        <v>0</v>
      </c>
      <c r="E20" s="48">
        <v>0</v>
      </c>
      <c r="F20" s="48"/>
      <c r="G20" s="48"/>
      <c r="H20" s="48">
        <f>SUM(E20:G20)</f>
        <v>0</v>
      </c>
      <c r="I20" s="48">
        <f>D20-E20</f>
        <v>0</v>
      </c>
      <c r="J20" s="80"/>
      <c r="K20" s="121"/>
      <c r="L20" s="121"/>
    </row>
    <row r="21" spans="1:12" s="71" customFormat="1" ht="21" customHeight="1">
      <c r="A21" s="67" t="s">
        <v>109</v>
      </c>
      <c r="B21" s="69"/>
      <c r="C21" s="68">
        <v>182101</v>
      </c>
      <c r="D21" s="66">
        <f aca="true" t="shared" si="1" ref="D21:I21">SUM(D19:D20)</f>
        <v>23000</v>
      </c>
      <c r="E21" s="66">
        <f t="shared" si="1"/>
        <v>3920.7599999999998</v>
      </c>
      <c r="F21" s="66">
        <f t="shared" si="1"/>
        <v>0</v>
      </c>
      <c r="G21" s="66">
        <f t="shared" si="1"/>
        <v>0</v>
      </c>
      <c r="H21" s="66">
        <f t="shared" si="1"/>
        <v>3920.7599999999998</v>
      </c>
      <c r="I21" s="66">
        <f t="shared" si="1"/>
        <v>19079.24</v>
      </c>
      <c r="J21" s="80"/>
      <c r="K21" s="121"/>
      <c r="L21" s="121"/>
    </row>
    <row r="22" spans="1:12" s="71" customFormat="1" ht="67.5" customHeight="1" hidden="1">
      <c r="A22" s="119" t="s">
        <v>261</v>
      </c>
      <c r="B22" s="33" t="s">
        <v>45</v>
      </c>
      <c r="C22" s="34" t="s">
        <v>265</v>
      </c>
      <c r="D22" s="48">
        <v>0</v>
      </c>
      <c r="E22" s="48">
        <v>0</v>
      </c>
      <c r="F22" s="48">
        <v>0</v>
      </c>
      <c r="G22" s="48">
        <v>0</v>
      </c>
      <c r="H22" s="122">
        <f>SUM(E22:G22)</f>
        <v>0</v>
      </c>
      <c r="I22" s="122">
        <f>D22-E22</f>
        <v>0</v>
      </c>
      <c r="J22" s="80"/>
      <c r="K22" s="121"/>
      <c r="L22" s="121"/>
    </row>
    <row r="23" spans="1:12" s="71" customFormat="1" ht="92.25" customHeight="1" hidden="1">
      <c r="A23" s="119" t="s">
        <v>262</v>
      </c>
      <c r="B23" s="33" t="s">
        <v>45</v>
      </c>
      <c r="C23" s="34" t="s">
        <v>266</v>
      </c>
      <c r="D23" s="48">
        <v>0</v>
      </c>
      <c r="E23" s="48">
        <v>0</v>
      </c>
      <c r="F23" s="48">
        <v>0</v>
      </c>
      <c r="G23" s="48">
        <v>0</v>
      </c>
      <c r="H23" s="122">
        <f>SUM(E23:G23)</f>
        <v>0</v>
      </c>
      <c r="I23" s="122">
        <f>D23-E23</f>
        <v>0</v>
      </c>
      <c r="J23" s="80"/>
      <c r="K23" s="121"/>
      <c r="L23" s="121"/>
    </row>
    <row r="24" spans="1:12" s="71" customFormat="1" ht="81" customHeight="1" hidden="1">
      <c r="A24" s="119" t="s">
        <v>263</v>
      </c>
      <c r="B24" s="33" t="s">
        <v>45</v>
      </c>
      <c r="C24" s="34" t="s">
        <v>267</v>
      </c>
      <c r="D24" s="48">
        <v>0</v>
      </c>
      <c r="E24" s="48">
        <v>0</v>
      </c>
      <c r="F24" s="48">
        <v>0</v>
      </c>
      <c r="G24" s="48">
        <v>0</v>
      </c>
      <c r="H24" s="122">
        <f>SUM(E24:G24)</f>
        <v>0</v>
      </c>
      <c r="I24" s="122">
        <f>D24-E24</f>
        <v>0</v>
      </c>
      <c r="J24" s="80"/>
      <c r="K24" s="121"/>
      <c r="L24" s="121"/>
    </row>
    <row r="25" spans="1:12" s="71" customFormat="1" ht="76.5" customHeight="1" hidden="1">
      <c r="A25" s="119" t="s">
        <v>264</v>
      </c>
      <c r="B25" s="33" t="s">
        <v>45</v>
      </c>
      <c r="C25" s="34" t="s">
        <v>268</v>
      </c>
      <c r="D25" s="48">
        <v>0</v>
      </c>
      <c r="E25" s="48">
        <v>0</v>
      </c>
      <c r="F25" s="48">
        <v>0</v>
      </c>
      <c r="G25" s="48">
        <v>0</v>
      </c>
      <c r="H25" s="122">
        <f>SUM(E25:G25)</f>
        <v>0</v>
      </c>
      <c r="I25" s="122">
        <f>D25-E25</f>
        <v>0</v>
      </c>
      <c r="J25" s="80"/>
      <c r="K25" s="121"/>
      <c r="L25" s="121"/>
    </row>
    <row r="26" spans="1:12" s="71" customFormat="1" ht="21" customHeight="1" hidden="1">
      <c r="A26" s="67" t="s">
        <v>109</v>
      </c>
      <c r="B26" s="64"/>
      <c r="C26" s="68">
        <v>182103</v>
      </c>
      <c r="D26" s="66">
        <f aca="true" t="shared" si="2" ref="D26:I26">SUM(D22:D25)</f>
        <v>0</v>
      </c>
      <c r="E26" s="66">
        <f t="shared" si="2"/>
        <v>0</v>
      </c>
      <c r="F26" s="66">
        <f t="shared" si="2"/>
        <v>0</v>
      </c>
      <c r="G26" s="66">
        <f t="shared" si="2"/>
        <v>0</v>
      </c>
      <c r="H26" s="66">
        <f t="shared" si="2"/>
        <v>0</v>
      </c>
      <c r="I26" s="66">
        <f t="shared" si="2"/>
        <v>0</v>
      </c>
      <c r="J26" s="80"/>
      <c r="K26" s="121"/>
      <c r="L26" s="121"/>
    </row>
    <row r="27" spans="1:12" s="21" customFormat="1" ht="76.5" customHeight="1" hidden="1">
      <c r="A27" s="119" t="s">
        <v>247</v>
      </c>
      <c r="B27" s="33" t="s">
        <v>45</v>
      </c>
      <c r="C27" s="34" t="s">
        <v>260</v>
      </c>
      <c r="D27" s="48">
        <v>0</v>
      </c>
      <c r="E27" s="48">
        <v>0</v>
      </c>
      <c r="F27" s="48">
        <v>0</v>
      </c>
      <c r="G27" s="48">
        <v>0</v>
      </c>
      <c r="H27" s="48">
        <f>SUM(E27:G27)</f>
        <v>0</v>
      </c>
      <c r="I27" s="47">
        <f>D27-E27</f>
        <v>0</v>
      </c>
      <c r="J27" s="75"/>
      <c r="K27" s="270"/>
      <c r="L27" s="271"/>
    </row>
    <row r="28" spans="1:18" s="21" customFormat="1" ht="89.25" customHeight="1" hidden="1">
      <c r="A28" s="32" t="s">
        <v>248</v>
      </c>
      <c r="B28" s="33" t="s">
        <v>45</v>
      </c>
      <c r="C28" s="34" t="s">
        <v>246</v>
      </c>
      <c r="D28" s="48">
        <v>0</v>
      </c>
      <c r="E28" s="48">
        <v>0</v>
      </c>
      <c r="F28" s="48">
        <v>0</v>
      </c>
      <c r="G28" s="48">
        <v>0</v>
      </c>
      <c r="H28" s="48">
        <f>SUM(E28:G28)</f>
        <v>0</v>
      </c>
      <c r="I28" s="47">
        <f>D28-E28</f>
        <v>0</v>
      </c>
      <c r="J28" s="76"/>
      <c r="K28" s="266"/>
      <c r="L28" s="266"/>
      <c r="M28" s="266"/>
      <c r="N28" s="266"/>
      <c r="O28" s="259"/>
      <c r="P28" s="259"/>
      <c r="Q28" s="259"/>
      <c r="R28" s="259"/>
    </row>
    <row r="29" spans="1:9" s="21" customFormat="1" ht="47.25" customHeight="1" hidden="1">
      <c r="A29" s="32" t="s">
        <v>112</v>
      </c>
      <c r="B29" s="33" t="s">
        <v>45</v>
      </c>
      <c r="C29" s="34" t="s">
        <v>46</v>
      </c>
      <c r="D29" s="48">
        <v>0</v>
      </c>
      <c r="E29" s="48">
        <v>0</v>
      </c>
      <c r="F29" s="48">
        <v>0</v>
      </c>
      <c r="G29" s="48">
        <v>0</v>
      </c>
      <c r="H29" s="48">
        <f>SUM(E29:G29)</f>
        <v>0</v>
      </c>
      <c r="I29" s="47">
        <f>D29-E29</f>
        <v>0</v>
      </c>
    </row>
    <row r="30" spans="1:9" s="21" customFormat="1" ht="36.75" customHeight="1" hidden="1">
      <c r="A30" s="32" t="s">
        <v>124</v>
      </c>
      <c r="B30" s="33" t="s">
        <v>45</v>
      </c>
      <c r="C30" s="34" t="s">
        <v>128</v>
      </c>
      <c r="D30" s="48">
        <v>0</v>
      </c>
      <c r="E30" s="48"/>
      <c r="F30" s="48"/>
      <c r="G30" s="48"/>
      <c r="H30" s="48">
        <f>SUM(E30:G30)</f>
        <v>0</v>
      </c>
      <c r="I30" s="47">
        <f>D30-E30</f>
        <v>0</v>
      </c>
    </row>
    <row r="31" spans="1:9" s="21" customFormat="1" ht="6" customHeight="1" hidden="1">
      <c r="A31" s="32"/>
      <c r="B31" s="33"/>
      <c r="C31" s="34"/>
      <c r="D31" s="48"/>
      <c r="E31" s="48"/>
      <c r="F31" s="48"/>
      <c r="G31" s="48"/>
      <c r="H31" s="48"/>
      <c r="I31" s="47"/>
    </row>
    <row r="32" spans="1:9" s="21" customFormat="1" ht="21.75" customHeight="1" hidden="1">
      <c r="A32" s="67" t="s">
        <v>109</v>
      </c>
      <c r="B32" s="64"/>
      <c r="C32" s="68">
        <v>182101</v>
      </c>
      <c r="D32" s="66">
        <f aca="true" t="shared" si="3" ref="D32:I32">SUM(D27:D31)</f>
        <v>0</v>
      </c>
      <c r="E32" s="66">
        <f t="shared" si="3"/>
        <v>0</v>
      </c>
      <c r="F32" s="66">
        <f t="shared" si="3"/>
        <v>0</v>
      </c>
      <c r="G32" s="66">
        <f t="shared" si="3"/>
        <v>0</v>
      </c>
      <c r="H32" s="66">
        <f t="shared" si="3"/>
        <v>0</v>
      </c>
      <c r="I32" s="66">
        <f t="shared" si="3"/>
        <v>0</v>
      </c>
    </row>
    <row r="33" spans="1:9" s="21" customFormat="1" ht="21.75" customHeight="1">
      <c r="A33" s="119" t="s">
        <v>293</v>
      </c>
      <c r="B33" s="33" t="s">
        <v>45</v>
      </c>
      <c r="C33" s="226" t="s">
        <v>545</v>
      </c>
      <c r="D33" s="48">
        <v>800</v>
      </c>
      <c r="E33" s="48">
        <v>280.18</v>
      </c>
      <c r="F33" s="48">
        <v>0</v>
      </c>
      <c r="G33" s="48">
        <v>0</v>
      </c>
      <c r="H33" s="48">
        <f>SUM(E33:G33)</f>
        <v>280.18</v>
      </c>
      <c r="I33" s="48">
        <f>D33-E33</f>
        <v>519.8199999999999</v>
      </c>
    </row>
    <row r="34" spans="1:9" s="21" customFormat="1" ht="23.25" customHeight="1" hidden="1">
      <c r="A34" s="119" t="s">
        <v>378</v>
      </c>
      <c r="B34" s="33" t="s">
        <v>45</v>
      </c>
      <c r="C34" s="232" t="s">
        <v>481</v>
      </c>
      <c r="D34" s="48">
        <v>0</v>
      </c>
      <c r="E34" s="48">
        <v>0</v>
      </c>
      <c r="F34" s="48">
        <v>0</v>
      </c>
      <c r="G34" s="48">
        <v>0</v>
      </c>
      <c r="H34" s="48">
        <f>SUM(E34:G34)</f>
        <v>0</v>
      </c>
      <c r="I34" s="48">
        <f>D34-E34</f>
        <v>0</v>
      </c>
    </row>
    <row r="35" spans="1:9" s="21" customFormat="1" ht="26.25" customHeight="1" hidden="1">
      <c r="A35" s="32" t="s">
        <v>113</v>
      </c>
      <c r="B35" s="33" t="s">
        <v>45</v>
      </c>
      <c r="C35" s="34" t="s">
        <v>201</v>
      </c>
      <c r="D35" s="48">
        <v>0</v>
      </c>
      <c r="E35" s="48">
        <v>0</v>
      </c>
      <c r="F35" s="48">
        <v>0</v>
      </c>
      <c r="G35" s="48">
        <v>0</v>
      </c>
      <c r="H35" s="48">
        <f>SUM(E35:G35)</f>
        <v>0</v>
      </c>
      <c r="I35" s="47">
        <f>D35-E35</f>
        <v>0</v>
      </c>
    </row>
    <row r="36" spans="1:10" s="21" customFormat="1" ht="1.5" customHeight="1" hidden="1">
      <c r="A36" s="32" t="s">
        <v>198</v>
      </c>
      <c r="B36" s="33" t="s">
        <v>45</v>
      </c>
      <c r="C36" s="34" t="s">
        <v>202</v>
      </c>
      <c r="D36" s="48">
        <v>0</v>
      </c>
      <c r="E36" s="48">
        <v>0</v>
      </c>
      <c r="F36" s="48">
        <v>0</v>
      </c>
      <c r="G36" s="48">
        <v>0</v>
      </c>
      <c r="H36" s="48">
        <f>SUM(E36:G36)</f>
        <v>0</v>
      </c>
      <c r="I36" s="47">
        <f>D36-E36</f>
        <v>0</v>
      </c>
      <c r="J36" s="21" t="s">
        <v>204</v>
      </c>
    </row>
    <row r="37" spans="1:9" s="21" customFormat="1" ht="24" hidden="1">
      <c r="A37" s="32" t="s">
        <v>113</v>
      </c>
      <c r="B37" s="33" t="s">
        <v>45</v>
      </c>
      <c r="C37" s="34" t="s">
        <v>203</v>
      </c>
      <c r="D37" s="48">
        <v>0</v>
      </c>
      <c r="E37" s="48">
        <v>0</v>
      </c>
      <c r="F37" s="48">
        <v>0</v>
      </c>
      <c r="G37" s="48">
        <v>0</v>
      </c>
      <c r="H37" s="48">
        <f>SUM(E37:G37)</f>
        <v>0</v>
      </c>
      <c r="I37" s="47">
        <f>D37-E37</f>
        <v>0</v>
      </c>
    </row>
    <row r="38" spans="1:9" s="21" customFormat="1" ht="15" customHeight="1">
      <c r="A38" s="67" t="s">
        <v>109</v>
      </c>
      <c r="B38" s="64"/>
      <c r="C38" s="68">
        <v>182105</v>
      </c>
      <c r="D38" s="66">
        <f aca="true" t="shared" si="4" ref="D38:I38">SUM(D33:D37)</f>
        <v>800</v>
      </c>
      <c r="E38" s="66">
        <f t="shared" si="4"/>
        <v>280.18</v>
      </c>
      <c r="F38" s="66">
        <f t="shared" si="4"/>
        <v>0</v>
      </c>
      <c r="G38" s="66">
        <f t="shared" si="4"/>
        <v>0</v>
      </c>
      <c r="H38" s="66">
        <f t="shared" si="4"/>
        <v>280.18</v>
      </c>
      <c r="I38" s="66">
        <f t="shared" si="4"/>
        <v>519.8199999999999</v>
      </c>
    </row>
    <row r="39" spans="1:9" s="21" customFormat="1" ht="39.75" customHeight="1">
      <c r="A39" s="119" t="s">
        <v>301</v>
      </c>
      <c r="B39" s="33" t="s">
        <v>45</v>
      </c>
      <c r="C39" s="227" t="s">
        <v>484</v>
      </c>
      <c r="D39" s="48">
        <v>16400</v>
      </c>
      <c r="E39" s="48">
        <f>25.25+60.01+281.62+0.3+41.08</f>
        <v>408.26</v>
      </c>
      <c r="F39" s="48">
        <v>0</v>
      </c>
      <c r="G39" s="48">
        <v>0</v>
      </c>
      <c r="H39" s="48">
        <f aca="true" t="shared" si="5" ref="H39:H47">SUM(E39:G39)</f>
        <v>408.26</v>
      </c>
      <c r="I39" s="48">
        <f aca="true" t="shared" si="6" ref="I39:I45">D39-E39</f>
        <v>15991.74</v>
      </c>
    </row>
    <row r="40" spans="1:9" s="21" customFormat="1" ht="1.5" customHeight="1" hidden="1">
      <c r="A40" s="32" t="s">
        <v>47</v>
      </c>
      <c r="B40" s="33" t="s">
        <v>45</v>
      </c>
      <c r="C40" s="34" t="s">
        <v>129</v>
      </c>
      <c r="D40" s="48">
        <v>0</v>
      </c>
      <c r="E40" s="48">
        <v>0</v>
      </c>
      <c r="F40" s="48">
        <v>0</v>
      </c>
      <c r="G40" s="48">
        <v>0</v>
      </c>
      <c r="H40" s="48">
        <f t="shared" si="5"/>
        <v>0</v>
      </c>
      <c r="I40" s="47">
        <f t="shared" si="6"/>
        <v>0</v>
      </c>
    </row>
    <row r="41" spans="1:9" s="21" customFormat="1" ht="42.75" customHeight="1">
      <c r="A41" s="119" t="s">
        <v>302</v>
      </c>
      <c r="B41" s="33" t="s">
        <v>45</v>
      </c>
      <c r="C41" s="228" t="s">
        <v>465</v>
      </c>
      <c r="D41" s="48">
        <v>105800</v>
      </c>
      <c r="E41" s="48">
        <f>4630+56200.18+5580.41+6996.82+5561.47+171.53</f>
        <v>79140.41</v>
      </c>
      <c r="F41" s="48">
        <v>0</v>
      </c>
      <c r="G41" s="48">
        <v>0</v>
      </c>
      <c r="H41" s="48">
        <f t="shared" si="5"/>
        <v>79140.41</v>
      </c>
      <c r="I41" s="48">
        <f t="shared" si="6"/>
        <v>26659.589999999997</v>
      </c>
    </row>
    <row r="42" spans="1:9" s="21" customFormat="1" ht="9" customHeight="1" hidden="1">
      <c r="A42" s="32" t="s">
        <v>48</v>
      </c>
      <c r="B42" s="33" t="s">
        <v>45</v>
      </c>
      <c r="C42" s="34" t="s">
        <v>130</v>
      </c>
      <c r="D42" s="48">
        <v>0</v>
      </c>
      <c r="E42" s="48">
        <v>0</v>
      </c>
      <c r="F42" s="48">
        <v>0</v>
      </c>
      <c r="G42" s="48">
        <v>0</v>
      </c>
      <c r="H42" s="48">
        <f t="shared" si="5"/>
        <v>0</v>
      </c>
      <c r="I42" s="47">
        <f t="shared" si="6"/>
        <v>0</v>
      </c>
    </row>
    <row r="43" spans="1:9" s="21" customFormat="1" ht="40.5" customHeight="1">
      <c r="A43" s="119" t="s">
        <v>309</v>
      </c>
      <c r="B43" s="33" t="s">
        <v>45</v>
      </c>
      <c r="C43" s="228" t="s">
        <v>466</v>
      </c>
      <c r="D43" s="48">
        <f>95900+130000</f>
        <v>225900</v>
      </c>
      <c r="E43" s="48">
        <f>863+767.79+5787.53+2563.29+36.01+2076.11</f>
        <v>12093.730000000001</v>
      </c>
      <c r="F43" s="48">
        <v>0</v>
      </c>
      <c r="G43" s="48">
        <v>0</v>
      </c>
      <c r="H43" s="48">
        <f t="shared" si="5"/>
        <v>12093.730000000001</v>
      </c>
      <c r="I43" s="48">
        <f t="shared" si="6"/>
        <v>213806.27</v>
      </c>
    </row>
    <row r="44" spans="1:9" s="21" customFormat="1" ht="58.5" customHeight="1" hidden="1">
      <c r="A44" s="32" t="s">
        <v>101</v>
      </c>
      <c r="B44" s="33" t="s">
        <v>45</v>
      </c>
      <c r="C44" s="34" t="s">
        <v>131</v>
      </c>
      <c r="D44" s="48">
        <v>0</v>
      </c>
      <c r="E44" s="48">
        <v>0</v>
      </c>
      <c r="F44" s="48">
        <v>0</v>
      </c>
      <c r="G44" s="48">
        <v>0</v>
      </c>
      <c r="H44" s="48">
        <f t="shared" si="5"/>
        <v>0</v>
      </c>
      <c r="I44" s="47">
        <f t="shared" si="6"/>
        <v>0</v>
      </c>
    </row>
    <row r="45" spans="1:9" s="21" customFormat="1" ht="58.5" customHeight="1" hidden="1">
      <c r="A45" s="32" t="s">
        <v>114</v>
      </c>
      <c r="B45" s="33" t="s">
        <v>45</v>
      </c>
      <c r="C45" s="34" t="s">
        <v>132</v>
      </c>
      <c r="D45" s="48">
        <v>0</v>
      </c>
      <c r="E45" s="48">
        <v>0</v>
      </c>
      <c r="F45" s="48">
        <v>0</v>
      </c>
      <c r="G45" s="48">
        <v>0</v>
      </c>
      <c r="H45" s="48">
        <f t="shared" si="5"/>
        <v>0</v>
      </c>
      <c r="I45" s="47">
        <f t="shared" si="6"/>
        <v>0</v>
      </c>
    </row>
    <row r="46" spans="1:9" s="21" customFormat="1" ht="22.5" customHeight="1">
      <c r="A46" s="67" t="s">
        <v>109</v>
      </c>
      <c r="B46" s="33"/>
      <c r="C46" s="68">
        <v>182106</v>
      </c>
      <c r="D46" s="66">
        <f>SUM(D39:D43)</f>
        <v>348100</v>
      </c>
      <c r="E46" s="66">
        <f>SUM(E39:E43)</f>
        <v>91642.4</v>
      </c>
      <c r="F46" s="48">
        <v>0</v>
      </c>
      <c r="G46" s="48">
        <v>0</v>
      </c>
      <c r="H46" s="66">
        <f>SUM(H39:H43)</f>
        <v>91642.4</v>
      </c>
      <c r="I46" s="66">
        <f>SUM(I39:I45)</f>
        <v>256457.59999999998</v>
      </c>
    </row>
    <row r="47" spans="1:9" s="21" customFormat="1" ht="78" customHeight="1">
      <c r="A47" s="109" t="s">
        <v>218</v>
      </c>
      <c r="B47" s="33" t="s">
        <v>45</v>
      </c>
      <c r="C47" s="226" t="s">
        <v>467</v>
      </c>
      <c r="D47" s="48">
        <v>5000</v>
      </c>
      <c r="E47" s="48">
        <v>800</v>
      </c>
      <c r="F47" s="48">
        <v>0</v>
      </c>
      <c r="G47" s="48">
        <v>0</v>
      </c>
      <c r="H47" s="48">
        <f t="shared" si="5"/>
        <v>800</v>
      </c>
      <c r="I47" s="48">
        <f>D47-E47</f>
        <v>4200</v>
      </c>
    </row>
    <row r="48" spans="1:9" s="21" customFormat="1" ht="15" customHeight="1">
      <c r="A48" s="67" t="s">
        <v>109</v>
      </c>
      <c r="B48" s="64"/>
      <c r="C48" s="68">
        <v>866108</v>
      </c>
      <c r="D48" s="66">
        <f>SUM(D47:D47)</f>
        <v>5000</v>
      </c>
      <c r="E48" s="66">
        <f>SUM(E47:E47)</f>
        <v>800</v>
      </c>
      <c r="F48" s="66">
        <f>SUM(F39:F47)</f>
        <v>0</v>
      </c>
      <c r="G48" s="66">
        <f>SUM(G39:G47)</f>
        <v>0</v>
      </c>
      <c r="H48" s="66">
        <f>SUM(H47:H47)</f>
        <v>800</v>
      </c>
      <c r="I48" s="66">
        <f>SUM(I47:I47)</f>
        <v>4200</v>
      </c>
    </row>
    <row r="49" spans="1:9" s="21" customFormat="1" ht="36.75" customHeight="1" hidden="1">
      <c r="A49" s="119" t="s">
        <v>49</v>
      </c>
      <c r="B49" s="33" t="s">
        <v>45</v>
      </c>
      <c r="C49" s="34" t="s">
        <v>231</v>
      </c>
      <c r="D49" s="48">
        <v>0</v>
      </c>
      <c r="E49" s="48">
        <v>0</v>
      </c>
      <c r="F49" s="48">
        <v>0</v>
      </c>
      <c r="G49" s="48">
        <v>0</v>
      </c>
      <c r="H49" s="48">
        <f>SUM(E49:G49)</f>
        <v>0</v>
      </c>
      <c r="I49" s="47">
        <f>D49-E49</f>
        <v>0</v>
      </c>
    </row>
    <row r="50" spans="1:9" s="21" customFormat="1" ht="38.25" customHeight="1" hidden="1">
      <c r="A50" s="119" t="s">
        <v>100</v>
      </c>
      <c r="B50" s="33" t="s">
        <v>45</v>
      </c>
      <c r="C50" s="34" t="s">
        <v>232</v>
      </c>
      <c r="D50" s="48">
        <v>0</v>
      </c>
      <c r="E50" s="48">
        <v>0</v>
      </c>
      <c r="F50" s="48">
        <v>0</v>
      </c>
      <c r="G50" s="48">
        <v>0</v>
      </c>
      <c r="H50" s="48">
        <f>SUM(E50:G50)</f>
        <v>0</v>
      </c>
      <c r="I50" s="47">
        <f>D50-E50</f>
        <v>0</v>
      </c>
    </row>
    <row r="51" spans="1:9" s="21" customFormat="1" ht="13.5" customHeight="1" hidden="1">
      <c r="A51" s="67" t="s">
        <v>109</v>
      </c>
      <c r="B51" s="64"/>
      <c r="C51" s="68">
        <v>182109</v>
      </c>
      <c r="D51" s="66">
        <f aca="true" t="shared" si="7" ref="D51:I51">SUM(D49:D50)</f>
        <v>0</v>
      </c>
      <c r="E51" s="66">
        <f t="shared" si="7"/>
        <v>0</v>
      </c>
      <c r="F51" s="66">
        <f t="shared" si="7"/>
        <v>0</v>
      </c>
      <c r="G51" s="66">
        <f t="shared" si="7"/>
        <v>0</v>
      </c>
      <c r="H51" s="66">
        <f t="shared" si="7"/>
        <v>0</v>
      </c>
      <c r="I51" s="66">
        <f t="shared" si="7"/>
        <v>0</v>
      </c>
    </row>
    <row r="52" spans="1:9" s="21" customFormat="1" ht="48" customHeight="1" hidden="1">
      <c r="A52" s="119" t="s">
        <v>50</v>
      </c>
      <c r="B52" s="33" t="s">
        <v>45</v>
      </c>
      <c r="C52" s="34" t="s">
        <v>239</v>
      </c>
      <c r="D52" s="48">
        <v>0</v>
      </c>
      <c r="E52" s="48">
        <v>0</v>
      </c>
      <c r="F52" s="48">
        <v>0</v>
      </c>
      <c r="G52" s="48">
        <v>0</v>
      </c>
      <c r="H52" s="48">
        <f>SUM(E52:G52)</f>
        <v>0</v>
      </c>
      <c r="I52" s="47">
        <f>D52-E52</f>
        <v>0</v>
      </c>
    </row>
    <row r="53" spans="1:9" s="21" customFormat="1" ht="78.75" customHeight="1" hidden="1">
      <c r="A53" s="109" t="s">
        <v>218</v>
      </c>
      <c r="B53" s="33" t="s">
        <v>45</v>
      </c>
      <c r="C53" s="108" t="s">
        <v>242</v>
      </c>
      <c r="D53" s="48">
        <v>0</v>
      </c>
      <c r="E53" s="110">
        <v>0</v>
      </c>
      <c r="F53" s="48">
        <v>0</v>
      </c>
      <c r="G53" s="48">
        <v>0</v>
      </c>
      <c r="H53" s="48">
        <f>SUM(E53:G53)</f>
        <v>0</v>
      </c>
      <c r="I53" s="47">
        <f>D53-E53</f>
        <v>0</v>
      </c>
    </row>
    <row r="54" spans="1:9" s="21" customFormat="1" ht="63" customHeight="1">
      <c r="A54" s="119" t="s">
        <v>308</v>
      </c>
      <c r="B54" s="33" t="s">
        <v>45</v>
      </c>
      <c r="C54" s="226" t="s">
        <v>468</v>
      </c>
      <c r="D54" s="48">
        <v>72000</v>
      </c>
      <c r="E54" s="48">
        <f>2492.52+4108.92+2492.52+10693.32+4108.92+4108.92</f>
        <v>28005.119999999995</v>
      </c>
      <c r="F54" s="48">
        <v>0</v>
      </c>
      <c r="G54" s="48">
        <v>0</v>
      </c>
      <c r="H54" s="48">
        <f>SUM(E54:G54)</f>
        <v>28005.119999999995</v>
      </c>
      <c r="I54" s="48">
        <f>D54-E54</f>
        <v>43994.880000000005</v>
      </c>
    </row>
    <row r="55" spans="1:9" s="21" customFormat="1" ht="16.5" customHeight="1">
      <c r="A55" s="67" t="s">
        <v>109</v>
      </c>
      <c r="B55" s="64"/>
      <c r="C55" s="68">
        <v>851111</v>
      </c>
      <c r="D55" s="66">
        <f>D52+D54+D53</f>
        <v>72000</v>
      </c>
      <c r="E55" s="66">
        <f>E52+E54+E53</f>
        <v>28005.119999999995</v>
      </c>
      <c r="F55" s="66">
        <f>F52+F54</f>
        <v>0</v>
      </c>
      <c r="G55" s="66">
        <f>G52+G54</f>
        <v>0</v>
      </c>
      <c r="H55" s="66">
        <f>H52+H54+H53</f>
        <v>28005.119999999995</v>
      </c>
      <c r="I55" s="66">
        <f>I52+I54+I53</f>
        <v>43994.880000000005</v>
      </c>
    </row>
    <row r="56" spans="1:9" s="21" customFormat="1" ht="0.75" customHeight="1">
      <c r="A56" s="32" t="s">
        <v>200</v>
      </c>
      <c r="B56" s="33">
        <v>10</v>
      </c>
      <c r="C56" s="34" t="s">
        <v>199</v>
      </c>
      <c r="D56" s="48">
        <v>0</v>
      </c>
      <c r="E56" s="48"/>
      <c r="F56" s="48">
        <v>0</v>
      </c>
      <c r="G56" s="48">
        <v>0</v>
      </c>
      <c r="H56" s="48">
        <f>SUM(E56:G56)</f>
        <v>0</v>
      </c>
      <c r="I56" s="47">
        <f>D56-E56</f>
        <v>0</v>
      </c>
    </row>
    <row r="57" spans="1:9" s="21" customFormat="1" ht="18.75" customHeight="1" hidden="1">
      <c r="A57" s="67" t="s">
        <v>109</v>
      </c>
      <c r="B57" s="64"/>
      <c r="C57" s="68">
        <v>851114</v>
      </c>
      <c r="D57" s="66">
        <f aca="true" t="shared" si="8" ref="D57:I57">SUM(D56:D56)</f>
        <v>0</v>
      </c>
      <c r="E57" s="66">
        <f t="shared" si="8"/>
        <v>0</v>
      </c>
      <c r="F57" s="66">
        <f t="shared" si="8"/>
        <v>0</v>
      </c>
      <c r="G57" s="66">
        <f t="shared" si="8"/>
        <v>0</v>
      </c>
      <c r="H57" s="66">
        <f t="shared" si="8"/>
        <v>0</v>
      </c>
      <c r="I57" s="66">
        <f t="shared" si="8"/>
        <v>0</v>
      </c>
    </row>
    <row r="58" spans="1:9" s="21" customFormat="1" ht="30" customHeight="1">
      <c r="A58" s="119" t="s">
        <v>303</v>
      </c>
      <c r="B58" s="33" t="s">
        <v>45</v>
      </c>
      <c r="C58" s="226" t="s">
        <v>469</v>
      </c>
      <c r="D58" s="48">
        <v>21900</v>
      </c>
      <c r="E58" s="48">
        <f>453.68+1178.56+8459.31+1920.85+3491.21</f>
        <v>15503.61</v>
      </c>
      <c r="F58" s="48">
        <v>0</v>
      </c>
      <c r="G58" s="48">
        <v>0</v>
      </c>
      <c r="H58" s="48">
        <f>SUM(E58:G58)</f>
        <v>15503.61</v>
      </c>
      <c r="I58" s="48">
        <f>D58-E58</f>
        <v>6396.389999999999</v>
      </c>
    </row>
    <row r="59" spans="1:9" s="21" customFormat="1" ht="30" customHeight="1">
      <c r="A59" s="67" t="s">
        <v>109</v>
      </c>
      <c r="B59" s="33"/>
      <c r="C59" s="106" t="s">
        <v>375</v>
      </c>
      <c r="D59" s="146">
        <f aca="true" t="shared" si="9" ref="D59:I59">SUM(D58)</f>
        <v>21900</v>
      </c>
      <c r="E59" s="146">
        <f t="shared" si="9"/>
        <v>15503.61</v>
      </c>
      <c r="F59" s="146">
        <f t="shared" si="9"/>
        <v>0</v>
      </c>
      <c r="G59" s="146">
        <f t="shared" si="9"/>
        <v>0</v>
      </c>
      <c r="H59" s="146">
        <f t="shared" si="9"/>
        <v>15503.61</v>
      </c>
      <c r="I59" s="146">
        <f t="shared" si="9"/>
        <v>6396.389999999999</v>
      </c>
    </row>
    <row r="60" spans="1:9" s="21" customFormat="1" ht="30" customHeight="1" hidden="1">
      <c r="A60" s="119" t="s">
        <v>316</v>
      </c>
      <c r="B60" s="33" t="s">
        <v>374</v>
      </c>
      <c r="C60" s="246" t="s">
        <v>488</v>
      </c>
      <c r="D60" s="48">
        <v>0</v>
      </c>
      <c r="E60" s="48">
        <v>0</v>
      </c>
      <c r="F60" s="48">
        <v>0</v>
      </c>
      <c r="G60" s="48">
        <v>0</v>
      </c>
      <c r="H60" s="48">
        <f>SUM(E60:G60)</f>
        <v>0</v>
      </c>
      <c r="I60" s="48">
        <f>D60-E60</f>
        <v>0</v>
      </c>
    </row>
    <row r="61" spans="1:9" s="21" customFormat="1" ht="30" customHeight="1" hidden="1">
      <c r="A61" s="67" t="s">
        <v>109</v>
      </c>
      <c r="B61" s="33"/>
      <c r="C61" s="106" t="s">
        <v>376</v>
      </c>
      <c r="D61" s="146">
        <f aca="true" t="shared" si="10" ref="D61:I61">SUM(D60)</f>
        <v>0</v>
      </c>
      <c r="E61" s="146">
        <f t="shared" si="10"/>
        <v>0</v>
      </c>
      <c r="F61" s="146">
        <f t="shared" si="10"/>
        <v>0</v>
      </c>
      <c r="G61" s="146">
        <f t="shared" si="10"/>
        <v>0</v>
      </c>
      <c r="H61" s="146">
        <f t="shared" si="10"/>
        <v>0</v>
      </c>
      <c r="I61" s="146">
        <f t="shared" si="10"/>
        <v>0</v>
      </c>
    </row>
    <row r="62" spans="1:9" s="21" customFormat="1" ht="14.25" customHeight="1" hidden="1">
      <c r="A62" s="67"/>
      <c r="B62" s="64"/>
      <c r="C62" s="68"/>
      <c r="D62" s="66"/>
      <c r="E62" s="66"/>
      <c r="F62" s="66"/>
      <c r="G62" s="66"/>
      <c r="H62" s="66"/>
      <c r="I62" s="66"/>
    </row>
    <row r="63" spans="1:9" s="21" customFormat="1" ht="57" customHeight="1" hidden="1">
      <c r="A63" s="119" t="s">
        <v>257</v>
      </c>
      <c r="B63" s="32"/>
      <c r="C63" s="34" t="s">
        <v>258</v>
      </c>
      <c r="D63" s="48">
        <v>0</v>
      </c>
      <c r="E63" s="48">
        <v>0</v>
      </c>
      <c r="F63" s="48">
        <v>0</v>
      </c>
      <c r="G63" s="48">
        <v>0</v>
      </c>
      <c r="H63" s="48">
        <f>SUM(E63:G63)</f>
        <v>0</v>
      </c>
      <c r="I63" s="47">
        <f>D63-E63</f>
        <v>0</v>
      </c>
    </row>
    <row r="64" spans="1:9" s="21" customFormat="1" ht="45.75" customHeight="1" hidden="1">
      <c r="A64" s="119" t="s">
        <v>178</v>
      </c>
      <c r="B64" s="33">
        <v>10</v>
      </c>
      <c r="C64" s="34" t="s">
        <v>241</v>
      </c>
      <c r="D64" s="48">
        <v>0</v>
      </c>
      <c r="E64" s="48">
        <v>0</v>
      </c>
      <c r="F64" s="48">
        <v>0</v>
      </c>
      <c r="G64" s="48">
        <v>0</v>
      </c>
      <c r="H64" s="48">
        <f>SUM(E64:G64)</f>
        <v>0</v>
      </c>
      <c r="I64" s="47">
        <f>D64-E64</f>
        <v>0</v>
      </c>
    </row>
    <row r="65" spans="1:9" s="21" customFormat="1" ht="43.5" customHeight="1" hidden="1">
      <c r="A65" s="67" t="s">
        <v>109</v>
      </c>
      <c r="B65" s="64"/>
      <c r="C65" s="68">
        <v>851114</v>
      </c>
      <c r="D65" s="66">
        <f aca="true" t="shared" si="11" ref="D65:I65">SUM(D63:D64)</f>
        <v>0</v>
      </c>
      <c r="E65" s="66">
        <f t="shared" si="11"/>
        <v>0</v>
      </c>
      <c r="F65" s="66">
        <f t="shared" si="11"/>
        <v>0</v>
      </c>
      <c r="G65" s="66">
        <f t="shared" si="11"/>
        <v>0</v>
      </c>
      <c r="H65" s="66">
        <f t="shared" si="11"/>
        <v>0</v>
      </c>
      <c r="I65" s="66">
        <f t="shared" si="11"/>
        <v>0</v>
      </c>
    </row>
    <row r="66" spans="1:9" s="21" customFormat="1" ht="43.5" customHeight="1" hidden="1">
      <c r="A66" s="32"/>
      <c r="B66" s="33"/>
      <c r="C66" s="34"/>
      <c r="D66" s="48"/>
      <c r="E66" s="48"/>
      <c r="F66" s="48"/>
      <c r="G66" s="48"/>
      <c r="H66" s="48"/>
      <c r="I66" s="47"/>
    </row>
    <row r="67" spans="1:9" s="21" customFormat="1" ht="50.25" customHeight="1" hidden="1">
      <c r="A67" s="67" t="s">
        <v>109</v>
      </c>
      <c r="B67" s="64"/>
      <c r="C67" s="68">
        <v>866111</v>
      </c>
      <c r="D67" s="66">
        <f aca="true" t="shared" si="12" ref="D67:I67">SUM(D66:D66)</f>
        <v>0</v>
      </c>
      <c r="E67" s="66">
        <f t="shared" si="12"/>
        <v>0</v>
      </c>
      <c r="F67" s="66">
        <f t="shared" si="12"/>
        <v>0</v>
      </c>
      <c r="G67" s="66">
        <f t="shared" si="12"/>
        <v>0</v>
      </c>
      <c r="H67" s="66">
        <f t="shared" si="12"/>
        <v>0</v>
      </c>
      <c r="I67" s="66">
        <f t="shared" si="12"/>
        <v>0</v>
      </c>
    </row>
    <row r="68" spans="1:9" s="21" customFormat="1" ht="32.25" customHeight="1" hidden="1">
      <c r="A68" s="134" t="s">
        <v>316</v>
      </c>
      <c r="B68" s="132" t="s">
        <v>45</v>
      </c>
      <c r="C68" s="133" t="s">
        <v>169</v>
      </c>
      <c r="D68" s="131">
        <v>0</v>
      </c>
      <c r="E68" s="131">
        <v>0</v>
      </c>
      <c r="F68" s="48">
        <v>0</v>
      </c>
      <c r="G68" s="48">
        <v>0</v>
      </c>
      <c r="H68" s="48">
        <f>SUM(E68:G68)</f>
        <v>0</v>
      </c>
      <c r="I68" s="48">
        <f>D68-E68</f>
        <v>0</v>
      </c>
    </row>
    <row r="69" spans="1:9" s="21" customFormat="1" ht="33" customHeight="1" hidden="1">
      <c r="A69" s="67" t="s">
        <v>109</v>
      </c>
      <c r="B69" s="64"/>
      <c r="C69" s="68">
        <v>866117</v>
      </c>
      <c r="D69" s="66">
        <f aca="true" t="shared" si="13" ref="D69:I69">SUM(D68:D68)</f>
        <v>0</v>
      </c>
      <c r="E69" s="66">
        <f t="shared" si="13"/>
        <v>0</v>
      </c>
      <c r="F69" s="66">
        <f t="shared" si="13"/>
        <v>0</v>
      </c>
      <c r="G69" s="66">
        <f t="shared" si="13"/>
        <v>0</v>
      </c>
      <c r="H69" s="66">
        <f t="shared" si="13"/>
        <v>0</v>
      </c>
      <c r="I69" s="66">
        <f t="shared" si="13"/>
        <v>0</v>
      </c>
    </row>
    <row r="70" spans="1:9" s="21" customFormat="1" ht="23.25" customHeight="1">
      <c r="A70" s="136" t="s">
        <v>304</v>
      </c>
      <c r="B70" s="33" t="s">
        <v>45</v>
      </c>
      <c r="C70" s="225" t="s">
        <v>461</v>
      </c>
      <c r="D70" s="48">
        <v>98400</v>
      </c>
      <c r="E70" s="48">
        <f>8200+8200+8200+16400+8200</f>
        <v>49200</v>
      </c>
      <c r="F70" s="48">
        <v>0</v>
      </c>
      <c r="G70" s="48">
        <v>0</v>
      </c>
      <c r="H70" s="48">
        <f>SUM(E70:G70)</f>
        <v>49200</v>
      </c>
      <c r="I70" s="48">
        <f>D70-E70</f>
        <v>49200</v>
      </c>
    </row>
    <row r="71" spans="1:9" s="21" customFormat="1" ht="34.5" customHeight="1" hidden="1">
      <c r="A71" s="119"/>
      <c r="B71" s="33"/>
      <c r="C71" s="34"/>
      <c r="D71" s="48"/>
      <c r="E71" s="48"/>
      <c r="F71" s="48"/>
      <c r="G71" s="48"/>
      <c r="H71" s="48"/>
      <c r="I71" s="48"/>
    </row>
    <row r="72" spans="1:9" s="21" customFormat="1" ht="30" customHeight="1">
      <c r="A72" s="136" t="s">
        <v>305</v>
      </c>
      <c r="B72" s="33" t="s">
        <v>45</v>
      </c>
      <c r="C72" s="225" t="s">
        <v>462</v>
      </c>
      <c r="D72" s="131">
        <v>829300</v>
      </c>
      <c r="E72" s="131">
        <f>69108+69108+69109+138216+69109</f>
        <v>414650</v>
      </c>
      <c r="F72" s="48">
        <v>0</v>
      </c>
      <c r="G72" s="48">
        <v>0</v>
      </c>
      <c r="H72" s="48">
        <f aca="true" t="shared" si="14" ref="H72:H77">SUM(E72:G72)</f>
        <v>414650</v>
      </c>
      <c r="I72" s="48">
        <f>D72-E72</f>
        <v>414650</v>
      </c>
    </row>
    <row r="73" spans="1:9" s="21" customFormat="1" ht="32.25" customHeight="1" hidden="1">
      <c r="A73" s="119" t="s">
        <v>324</v>
      </c>
      <c r="B73" s="33" t="s">
        <v>45</v>
      </c>
      <c r="C73" s="34" t="s">
        <v>325</v>
      </c>
      <c r="D73" s="131">
        <f>D74</f>
        <v>0</v>
      </c>
      <c r="E73" s="131">
        <f>E74</f>
        <v>0</v>
      </c>
      <c r="F73" s="48">
        <v>0</v>
      </c>
      <c r="G73" s="48">
        <v>0</v>
      </c>
      <c r="H73" s="48">
        <f t="shared" si="14"/>
        <v>0</v>
      </c>
      <c r="I73" s="48">
        <f>I74</f>
        <v>0</v>
      </c>
    </row>
    <row r="74" spans="1:9" s="21" customFormat="1" ht="39" customHeight="1" hidden="1">
      <c r="A74" s="119" t="s">
        <v>326</v>
      </c>
      <c r="B74" s="33" t="s">
        <v>45</v>
      </c>
      <c r="C74" s="34" t="s">
        <v>325</v>
      </c>
      <c r="D74" s="131">
        <v>0</v>
      </c>
      <c r="E74" s="131">
        <v>0</v>
      </c>
      <c r="F74" s="48">
        <v>0</v>
      </c>
      <c r="G74" s="48">
        <v>0</v>
      </c>
      <c r="H74" s="48">
        <f t="shared" si="14"/>
        <v>0</v>
      </c>
      <c r="I74" s="48">
        <f>D74-E74</f>
        <v>0</v>
      </c>
    </row>
    <row r="75" spans="1:9" s="21" customFormat="1" ht="21.75" customHeight="1" hidden="1">
      <c r="A75" s="137" t="s">
        <v>322</v>
      </c>
      <c r="B75" s="33" t="s">
        <v>45</v>
      </c>
      <c r="C75" s="34" t="s">
        <v>133</v>
      </c>
      <c r="D75" s="48">
        <f>D77</f>
        <v>0</v>
      </c>
      <c r="E75" s="48">
        <f>E77</f>
        <v>0</v>
      </c>
      <c r="F75" s="48">
        <v>0</v>
      </c>
      <c r="G75" s="48">
        <v>0</v>
      </c>
      <c r="H75" s="48">
        <f t="shared" si="14"/>
        <v>0</v>
      </c>
      <c r="I75" s="48">
        <f>SUM(I77:I82)</f>
        <v>0</v>
      </c>
    </row>
    <row r="76" spans="1:9" s="21" customFormat="1" ht="61.5" customHeight="1" hidden="1">
      <c r="A76" s="286" t="s">
        <v>116</v>
      </c>
      <c r="B76" s="287"/>
      <c r="C76" s="34"/>
      <c r="D76" s="86">
        <v>0</v>
      </c>
      <c r="E76" s="86"/>
      <c r="F76" s="86">
        <v>0</v>
      </c>
      <c r="G76" s="86">
        <v>0</v>
      </c>
      <c r="H76" s="48">
        <f t="shared" si="14"/>
        <v>0</v>
      </c>
      <c r="I76" s="86">
        <f aca="true" t="shared" si="15" ref="I76:I88">D76-E76</f>
        <v>0</v>
      </c>
    </row>
    <row r="77" spans="1:9" s="21" customFormat="1" ht="27.75" customHeight="1" hidden="1">
      <c r="A77" s="119" t="s">
        <v>323</v>
      </c>
      <c r="B77" s="33" t="s">
        <v>45</v>
      </c>
      <c r="C77" s="34" t="s">
        <v>133</v>
      </c>
      <c r="D77" s="104">
        <v>0</v>
      </c>
      <c r="E77" s="104">
        <v>0</v>
      </c>
      <c r="F77" s="86">
        <v>0</v>
      </c>
      <c r="G77" s="86">
        <v>0</v>
      </c>
      <c r="H77" s="48">
        <f t="shared" si="14"/>
        <v>0</v>
      </c>
      <c r="I77" s="48">
        <f t="shared" si="15"/>
        <v>0</v>
      </c>
    </row>
    <row r="78" spans="1:9" s="21" customFormat="1" ht="59.25" customHeight="1" hidden="1">
      <c r="A78" s="286" t="s">
        <v>118</v>
      </c>
      <c r="B78" s="287"/>
      <c r="C78" s="34"/>
      <c r="D78" s="86"/>
      <c r="E78" s="86">
        <v>0</v>
      </c>
      <c r="F78" s="86">
        <v>0</v>
      </c>
      <c r="G78" s="86">
        <v>0</v>
      </c>
      <c r="H78" s="48">
        <f aca="true" t="shared" si="16" ref="H78:H85">SUM(E78:G78)</f>
        <v>0</v>
      </c>
      <c r="I78" s="86">
        <f t="shared" si="15"/>
        <v>0</v>
      </c>
    </row>
    <row r="79" spans="1:9" s="21" customFormat="1" ht="61.5" customHeight="1" hidden="1">
      <c r="A79" s="286" t="s">
        <v>126</v>
      </c>
      <c r="B79" s="287"/>
      <c r="C79" s="34"/>
      <c r="D79" s="86">
        <v>0</v>
      </c>
      <c r="E79" s="86"/>
      <c r="F79" s="86">
        <v>0</v>
      </c>
      <c r="G79" s="86">
        <v>0</v>
      </c>
      <c r="H79" s="48">
        <f t="shared" si="16"/>
        <v>0</v>
      </c>
      <c r="I79" s="86">
        <f t="shared" si="15"/>
        <v>0</v>
      </c>
    </row>
    <row r="80" spans="1:9" s="21" customFormat="1" ht="63" customHeight="1" hidden="1">
      <c r="A80" s="32" t="s">
        <v>117</v>
      </c>
      <c r="B80" s="33"/>
      <c r="C80" s="34"/>
      <c r="D80" s="85"/>
      <c r="E80" s="85"/>
      <c r="F80" s="48"/>
      <c r="G80" s="48"/>
      <c r="H80" s="48">
        <f t="shared" si="16"/>
        <v>0</v>
      </c>
      <c r="I80" s="86">
        <f t="shared" si="15"/>
        <v>0</v>
      </c>
    </row>
    <row r="81" spans="1:9" s="21" customFormat="1" ht="66" customHeight="1" hidden="1">
      <c r="A81" s="286" t="s">
        <v>136</v>
      </c>
      <c r="B81" s="287"/>
      <c r="C81" s="34"/>
      <c r="D81" s="86">
        <v>0</v>
      </c>
      <c r="E81" s="86"/>
      <c r="F81" s="86">
        <v>0</v>
      </c>
      <c r="G81" s="86">
        <v>0</v>
      </c>
      <c r="H81" s="48">
        <f t="shared" si="16"/>
        <v>0</v>
      </c>
      <c r="I81" s="86">
        <f t="shared" si="15"/>
        <v>0</v>
      </c>
    </row>
    <row r="82" spans="1:9" s="21" customFormat="1" ht="71.25" customHeight="1" hidden="1">
      <c r="A82" s="286" t="s">
        <v>166</v>
      </c>
      <c r="B82" s="287"/>
      <c r="C82" s="34"/>
      <c r="D82" s="86"/>
      <c r="E82" s="86"/>
      <c r="F82" s="86">
        <v>0</v>
      </c>
      <c r="G82" s="86">
        <v>0</v>
      </c>
      <c r="H82" s="48">
        <f t="shared" si="16"/>
        <v>0</v>
      </c>
      <c r="I82" s="86">
        <f t="shared" si="15"/>
        <v>0</v>
      </c>
    </row>
    <row r="83" spans="1:9" s="21" customFormat="1" ht="73.5" customHeight="1" hidden="1">
      <c r="A83" s="288" t="s">
        <v>179</v>
      </c>
      <c r="B83" s="289"/>
      <c r="C83" s="34"/>
      <c r="D83" s="86"/>
      <c r="E83" s="86"/>
      <c r="F83" s="86">
        <v>0</v>
      </c>
      <c r="G83" s="86">
        <v>0</v>
      </c>
      <c r="H83" s="48">
        <f t="shared" si="16"/>
        <v>0</v>
      </c>
      <c r="I83" s="86">
        <f t="shared" si="15"/>
        <v>0</v>
      </c>
    </row>
    <row r="84" spans="1:9" s="21" customFormat="1" ht="73.5" customHeight="1" hidden="1">
      <c r="A84" s="119" t="s">
        <v>250</v>
      </c>
      <c r="B84" s="33" t="s">
        <v>45</v>
      </c>
      <c r="C84" s="34" t="s">
        <v>133</v>
      </c>
      <c r="D84" s="48">
        <v>0</v>
      </c>
      <c r="E84" s="48">
        <v>591313</v>
      </c>
      <c r="F84" s="48">
        <v>0</v>
      </c>
      <c r="G84" s="48">
        <v>0</v>
      </c>
      <c r="H84" s="48">
        <f t="shared" si="16"/>
        <v>591313</v>
      </c>
      <c r="I84" s="47">
        <f t="shared" si="15"/>
        <v>-591313</v>
      </c>
    </row>
    <row r="85" spans="1:9" s="21" customFormat="1" ht="104.25" customHeight="1" hidden="1">
      <c r="A85" s="119" t="s">
        <v>292</v>
      </c>
      <c r="B85" s="33" t="s">
        <v>45</v>
      </c>
      <c r="C85" s="34" t="s">
        <v>291</v>
      </c>
      <c r="D85" s="48">
        <v>0</v>
      </c>
      <c r="E85" s="48">
        <v>0</v>
      </c>
      <c r="F85" s="48">
        <v>0</v>
      </c>
      <c r="G85" s="48">
        <v>0</v>
      </c>
      <c r="H85" s="48">
        <f t="shared" si="16"/>
        <v>0</v>
      </c>
      <c r="I85" s="47">
        <f t="shared" si="15"/>
        <v>0</v>
      </c>
    </row>
    <row r="86" spans="1:9" s="21" customFormat="1" ht="36" customHeight="1">
      <c r="A86" s="119" t="s">
        <v>306</v>
      </c>
      <c r="B86" s="33" t="s">
        <v>45</v>
      </c>
      <c r="C86" s="225" t="s">
        <v>463</v>
      </c>
      <c r="D86" s="48">
        <v>63999</v>
      </c>
      <c r="E86" s="48">
        <f>15999.75+15999.75</f>
        <v>31999.5</v>
      </c>
      <c r="F86" s="48">
        <v>0</v>
      </c>
      <c r="G86" s="48">
        <v>0</v>
      </c>
      <c r="H86" s="48">
        <f>SUM(E86:G86)</f>
        <v>31999.5</v>
      </c>
      <c r="I86" s="48">
        <f t="shared" si="15"/>
        <v>31999.5</v>
      </c>
    </row>
    <row r="87" spans="1:9" s="21" customFormat="1" ht="36" hidden="1">
      <c r="A87" s="119" t="s">
        <v>307</v>
      </c>
      <c r="B87" s="33" t="s">
        <v>45</v>
      </c>
      <c r="C87" s="34" t="s">
        <v>134</v>
      </c>
      <c r="D87" s="48">
        <v>0</v>
      </c>
      <c r="E87" s="48">
        <f>0</f>
        <v>0</v>
      </c>
      <c r="F87" s="48">
        <v>0</v>
      </c>
      <c r="G87" s="48">
        <v>0</v>
      </c>
      <c r="H87" s="48">
        <f>SUM(E87:G87)</f>
        <v>0</v>
      </c>
      <c r="I87" s="48">
        <f t="shared" si="15"/>
        <v>0</v>
      </c>
    </row>
    <row r="88" spans="1:9" s="21" customFormat="1" ht="64.5" customHeight="1">
      <c r="A88" s="119" t="s">
        <v>313</v>
      </c>
      <c r="B88" s="33" t="s">
        <v>45</v>
      </c>
      <c r="C88" s="225" t="s">
        <v>464</v>
      </c>
      <c r="D88" s="48">
        <f>1404803.23+303352.95</f>
        <v>1708156.18</v>
      </c>
      <c r="E88" s="48">
        <f>110209.94+122263.61+15580.18+20158.73</f>
        <v>268212.45999999996</v>
      </c>
      <c r="F88" s="48">
        <v>0</v>
      </c>
      <c r="G88" s="48">
        <v>0</v>
      </c>
      <c r="H88" s="48">
        <f>SUM(E88:G88)</f>
        <v>268212.45999999996</v>
      </c>
      <c r="I88" s="48">
        <f t="shared" si="15"/>
        <v>1439943.72</v>
      </c>
    </row>
    <row r="89" spans="1:10" s="21" customFormat="1" ht="17.25" customHeight="1">
      <c r="A89" s="67" t="s">
        <v>109</v>
      </c>
      <c r="B89" s="64"/>
      <c r="C89" s="68">
        <v>866202</v>
      </c>
      <c r="D89" s="66">
        <f>D70+D72+D86+D87+D88+D73+D75</f>
        <v>2699855.1799999997</v>
      </c>
      <c r="E89" s="66">
        <f>E70+E72+E86+E87+E88+E73+E75</f>
        <v>764061.96</v>
      </c>
      <c r="F89" s="66">
        <f>F70+F72+F86+F87+F88+F73+F75</f>
        <v>0</v>
      </c>
      <c r="G89" s="66">
        <f>G70+G72+G86+G87+G88+G73+G75</f>
        <v>0</v>
      </c>
      <c r="H89" s="66">
        <f>H70+H72+H86+H87+H88+H73+H75</f>
        <v>764061.96</v>
      </c>
      <c r="I89" s="66">
        <f>I70+I72+I86+I87+I88</f>
        <v>1935793.22</v>
      </c>
      <c r="J89" s="66">
        <f>J70+J72+J86+J87+J88</f>
        <v>0</v>
      </c>
    </row>
    <row r="90" spans="1:9" s="21" customFormat="1" ht="84" hidden="1">
      <c r="A90" s="32" t="s">
        <v>51</v>
      </c>
      <c r="B90" s="33" t="s">
        <v>45</v>
      </c>
      <c r="C90" s="34" t="s">
        <v>135</v>
      </c>
      <c r="D90" s="48">
        <v>0</v>
      </c>
      <c r="E90" s="48">
        <v>0</v>
      </c>
      <c r="F90" s="48">
        <v>0</v>
      </c>
      <c r="G90" s="48">
        <v>0</v>
      </c>
      <c r="H90" s="48">
        <f>SUM(E90:G90)</f>
        <v>0</v>
      </c>
      <c r="I90" s="47">
        <f>D90-E90</f>
        <v>0</v>
      </c>
    </row>
    <row r="91" spans="1:9" s="21" customFormat="1" ht="15" customHeight="1" hidden="1">
      <c r="A91" s="67" t="s">
        <v>109</v>
      </c>
      <c r="B91" s="64"/>
      <c r="C91" s="68">
        <v>866208</v>
      </c>
      <c r="D91" s="66">
        <f aca="true" t="shared" si="17" ref="D91:I91">SUM(D90:D90)</f>
        <v>0</v>
      </c>
      <c r="E91" s="66">
        <f t="shared" si="17"/>
        <v>0</v>
      </c>
      <c r="F91" s="66">
        <f t="shared" si="17"/>
        <v>0</v>
      </c>
      <c r="G91" s="66">
        <f t="shared" si="17"/>
        <v>0</v>
      </c>
      <c r="H91" s="66">
        <f t="shared" si="17"/>
        <v>0</v>
      </c>
      <c r="I91" s="66">
        <f t="shared" si="17"/>
        <v>0</v>
      </c>
    </row>
    <row r="92" spans="3:9" s="20" customFormat="1" ht="9" customHeight="1">
      <c r="C92" s="29"/>
      <c r="D92" s="29"/>
      <c r="E92" s="29"/>
      <c r="F92" s="29"/>
      <c r="G92" s="29"/>
      <c r="H92" s="30"/>
      <c r="I92" s="29"/>
    </row>
    <row r="93" spans="3:9" s="20" customFormat="1" ht="9" customHeight="1">
      <c r="C93" s="29"/>
      <c r="D93" s="29"/>
      <c r="E93" s="29"/>
      <c r="F93" s="29"/>
      <c r="G93" s="29"/>
      <c r="H93" s="30"/>
      <c r="I93" s="29"/>
    </row>
    <row r="94" spans="3:9" s="20" customFormat="1" ht="9" customHeight="1">
      <c r="C94" s="29"/>
      <c r="D94" s="29"/>
      <c r="E94" s="29"/>
      <c r="F94" s="29"/>
      <c r="G94" s="29"/>
      <c r="H94" s="30"/>
      <c r="I94" s="29"/>
    </row>
    <row r="95" spans="1:9" ht="51" customHeight="1">
      <c r="A95" s="284"/>
      <c r="B95" s="284"/>
      <c r="C95" s="284"/>
      <c r="D95" s="285"/>
      <c r="E95" s="285"/>
      <c r="F95" s="285"/>
      <c r="G95" s="22"/>
      <c r="I95" s="22"/>
    </row>
    <row r="104" spans="7:8" ht="12.75">
      <c r="G104" s="23"/>
      <c r="H104" s="24"/>
    </row>
  </sheetData>
  <sheetProtection/>
  <mergeCells count="25">
    <mergeCell ref="A95:C95"/>
    <mergeCell ref="D95:F95"/>
    <mergeCell ref="A76:B76"/>
    <mergeCell ref="A78:B78"/>
    <mergeCell ref="A79:B79"/>
    <mergeCell ref="A81:B81"/>
    <mergeCell ref="A82:B82"/>
    <mergeCell ref="A83:B83"/>
    <mergeCell ref="A2:G2"/>
    <mergeCell ref="A6:G6"/>
    <mergeCell ref="A11:G11"/>
    <mergeCell ref="A13:A14"/>
    <mergeCell ref="B13:B14"/>
    <mergeCell ref="C13:C14"/>
    <mergeCell ref="D13:D14"/>
    <mergeCell ref="A7:G7"/>
    <mergeCell ref="A3:G3"/>
    <mergeCell ref="O28:R28"/>
    <mergeCell ref="K18:L18"/>
    <mergeCell ref="M16:N16"/>
    <mergeCell ref="E13:H13"/>
    <mergeCell ref="K28:N28"/>
    <mergeCell ref="K16:L16"/>
    <mergeCell ref="I13:I14"/>
    <mergeCell ref="K27:L27"/>
  </mergeCells>
  <printOptions horizontalCentered="1"/>
  <pageMargins left="0.3937007874015748" right="0.1968503937007874" top="0.7874015748031497" bottom="0.1968503937007874" header="0.3937007874015748" footer="0.5118110236220472"/>
  <pageSetup fitToHeight="1000" fitToWidth="3" horizontalDpi="300" verticalDpi="300" orientation="landscape" paperSize="9" scale="77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5"/>
  <sheetViews>
    <sheetView showGridLines="0" zoomScale="85" zoomScaleNormal="85" zoomScalePageLayoutView="0" workbookViewId="0" topLeftCell="A105">
      <selection activeCell="D109" sqref="D109:E109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8.75390625" style="24" customWidth="1"/>
    <col min="4" max="4" width="17.25390625" style="24" customWidth="1"/>
    <col min="5" max="5" width="16.125" style="24" customWidth="1"/>
    <col min="6" max="6" width="16.25390625" style="24" customWidth="1"/>
    <col min="7" max="7" width="14.75390625" style="24" customWidth="1"/>
    <col min="8" max="8" width="14.75390625" style="23" customWidth="1"/>
    <col min="9" max="9" width="15.25390625" style="24" customWidth="1"/>
    <col min="10" max="10" width="16.25390625" style="24" customWidth="1"/>
    <col min="11" max="11" width="16.00390625" style="24" customWidth="1"/>
    <col min="12" max="12" width="13.75390625" style="24" hidden="1" customWidth="1"/>
    <col min="13" max="13" width="12.25390625" style="24" hidden="1" customWidth="1"/>
    <col min="14" max="15" width="9.125" style="24" customWidth="1"/>
    <col min="16" max="16" width="9.25390625" style="24" bestFit="1" customWidth="1"/>
    <col min="17" max="16384" width="9.125" style="24" customWidth="1"/>
  </cols>
  <sheetData>
    <row r="1" spans="1:11" s="14" customFormat="1" ht="15.75">
      <c r="A1" s="291" t="s">
        <v>22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s="14" customFormat="1" ht="15.75">
      <c r="A2" s="49"/>
      <c r="B2" s="49"/>
      <c r="C2" s="49"/>
      <c r="D2" s="290" t="str">
        <f>'1. Доходы бюджета (1.12)'!C4</f>
        <v>на 01.07.2018 года</v>
      </c>
      <c r="E2" s="290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292" t="s">
        <v>4</v>
      </c>
      <c r="B4" s="280" t="s">
        <v>5</v>
      </c>
      <c r="C4" s="280" t="s">
        <v>24</v>
      </c>
      <c r="D4" s="280" t="s">
        <v>27</v>
      </c>
      <c r="E4" s="280" t="s">
        <v>26</v>
      </c>
      <c r="F4" s="280" t="s">
        <v>15</v>
      </c>
      <c r="G4" s="280"/>
      <c r="H4" s="280"/>
      <c r="I4" s="280"/>
      <c r="J4" s="280" t="s">
        <v>20</v>
      </c>
      <c r="K4" s="280" t="s">
        <v>20</v>
      </c>
    </row>
    <row r="5" spans="1:11" s="14" customFormat="1" ht="63" customHeight="1">
      <c r="A5" s="293"/>
      <c r="B5" s="281"/>
      <c r="C5" s="281"/>
      <c r="D5" s="281"/>
      <c r="E5" s="281"/>
      <c r="F5" s="281" t="s">
        <v>16</v>
      </c>
      <c r="G5" s="281" t="s">
        <v>17</v>
      </c>
      <c r="H5" s="281" t="s">
        <v>18</v>
      </c>
      <c r="I5" s="281" t="s">
        <v>19</v>
      </c>
      <c r="J5" s="281" t="s">
        <v>25</v>
      </c>
      <c r="K5" s="281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20.25" customHeight="1">
      <c r="A7" s="72" t="s">
        <v>52</v>
      </c>
      <c r="B7" s="73" t="s">
        <v>53</v>
      </c>
      <c r="C7" s="73" t="s">
        <v>254</v>
      </c>
      <c r="D7" s="120">
        <f aca="true" t="shared" si="0" ref="D7:I7">D61+D72+D92+D110+D152+D178+D191+D199</f>
        <v>3189867.0999999996</v>
      </c>
      <c r="E7" s="120">
        <f t="shared" si="0"/>
        <v>3189867.0999999996</v>
      </c>
      <c r="F7" s="120">
        <f t="shared" si="0"/>
        <v>901414.6199999999</v>
      </c>
      <c r="G7" s="120">
        <f t="shared" si="0"/>
        <v>0</v>
      </c>
      <c r="H7" s="120">
        <f t="shared" si="0"/>
        <v>0</v>
      </c>
      <c r="I7" s="120">
        <f t="shared" si="0"/>
        <v>899184.6199999999</v>
      </c>
      <c r="J7" s="120">
        <f>D7-F7</f>
        <v>2288452.4799999995</v>
      </c>
      <c r="K7" s="120">
        <f>E7-F7</f>
        <v>2288452.4799999995</v>
      </c>
      <c r="L7" s="97">
        <f>D7-F7</f>
        <v>2288452.4799999995</v>
      </c>
      <c r="M7" s="115">
        <f>K7-L7</f>
        <v>0</v>
      </c>
    </row>
    <row r="8" spans="1:11" s="59" customFormat="1" ht="21" customHeight="1">
      <c r="A8" s="123" t="s">
        <v>297</v>
      </c>
      <c r="B8" s="73"/>
      <c r="C8" s="92" t="s">
        <v>544</v>
      </c>
      <c r="D8" s="90">
        <f>SUM(D9:D10)</f>
        <v>381400</v>
      </c>
      <c r="E8" s="90">
        <f aca="true" t="shared" si="1" ref="E8:K8">SUM(E9:E10)</f>
        <v>381400</v>
      </c>
      <c r="F8" s="90">
        <f>F9+F10</f>
        <v>155955.14</v>
      </c>
      <c r="G8" s="90">
        <f t="shared" si="1"/>
        <v>0</v>
      </c>
      <c r="H8" s="90">
        <f t="shared" si="1"/>
        <v>0</v>
      </c>
      <c r="I8" s="90">
        <f t="shared" si="1"/>
        <v>155955.14</v>
      </c>
      <c r="J8" s="90">
        <f t="shared" si="1"/>
        <v>225444.86</v>
      </c>
      <c r="K8" s="90">
        <f t="shared" si="1"/>
        <v>225444.86</v>
      </c>
    </row>
    <row r="9" spans="1:11" s="21" customFormat="1" ht="15.75" customHeight="1">
      <c r="A9" s="60" t="s">
        <v>54</v>
      </c>
      <c r="B9" s="61" t="s">
        <v>53</v>
      </c>
      <c r="C9" s="62" t="s">
        <v>496</v>
      </c>
      <c r="D9" s="63">
        <v>293100</v>
      </c>
      <c r="E9" s="63">
        <f>D9</f>
        <v>293100</v>
      </c>
      <c r="F9" s="63">
        <f>10000+23058+31363+20243+20058+16059</f>
        <v>120781</v>
      </c>
      <c r="G9" s="63">
        <v>0</v>
      </c>
      <c r="H9" s="63">
        <v>0</v>
      </c>
      <c r="I9" s="63">
        <f>SUM(F9:H9)</f>
        <v>120781</v>
      </c>
      <c r="J9" s="63">
        <f>D9-F9</f>
        <v>172319</v>
      </c>
      <c r="K9" s="63">
        <f>E9-F9</f>
        <v>172319</v>
      </c>
    </row>
    <row r="10" spans="1:11" s="21" customFormat="1" ht="15" customHeight="1">
      <c r="A10" s="60" t="s">
        <v>56</v>
      </c>
      <c r="B10" s="61" t="s">
        <v>53</v>
      </c>
      <c r="C10" s="62" t="s">
        <v>497</v>
      </c>
      <c r="D10" s="63">
        <v>88300</v>
      </c>
      <c r="E10" s="63">
        <f>D10</f>
        <v>88300</v>
      </c>
      <c r="F10" s="63">
        <f>6945.07+14338.93+6945.07+6945.07</f>
        <v>35174.14</v>
      </c>
      <c r="G10" s="63">
        <v>0</v>
      </c>
      <c r="H10" s="63">
        <v>0</v>
      </c>
      <c r="I10" s="63">
        <f>SUM(F10:H10)</f>
        <v>35174.14</v>
      </c>
      <c r="J10" s="63">
        <f>D10-F10</f>
        <v>53125.86</v>
      </c>
      <c r="K10" s="63">
        <f>E10-F10</f>
        <v>53125.86</v>
      </c>
    </row>
    <row r="11" spans="1:11" s="21" customFormat="1" ht="45.75" customHeight="1">
      <c r="A11" s="124" t="s">
        <v>351</v>
      </c>
      <c r="B11" s="88"/>
      <c r="C11" s="89" t="s">
        <v>289</v>
      </c>
      <c r="D11" s="66">
        <f aca="true" t="shared" si="2" ref="D11:K11">D8</f>
        <v>381400</v>
      </c>
      <c r="E11" s="66">
        <f t="shared" si="2"/>
        <v>381400</v>
      </c>
      <c r="F11" s="66">
        <f>F8</f>
        <v>155955.14</v>
      </c>
      <c r="G11" s="66">
        <f t="shared" si="2"/>
        <v>0</v>
      </c>
      <c r="H11" s="66">
        <f t="shared" si="2"/>
        <v>0</v>
      </c>
      <c r="I11" s="66">
        <f t="shared" si="2"/>
        <v>155955.14</v>
      </c>
      <c r="J11" s="66">
        <f t="shared" si="2"/>
        <v>225444.86</v>
      </c>
      <c r="K11" s="66">
        <f t="shared" si="2"/>
        <v>225444.86</v>
      </c>
    </row>
    <row r="12" spans="1:11" s="59" customFormat="1" ht="46.5" customHeight="1">
      <c r="A12" s="123" t="s">
        <v>275</v>
      </c>
      <c r="B12" s="73"/>
      <c r="C12" s="92" t="s">
        <v>526</v>
      </c>
      <c r="D12" s="90">
        <f>D13+D15+D24</f>
        <v>764186</v>
      </c>
      <c r="E12" s="90">
        <f aca="true" t="shared" si="3" ref="E12:K12">E13+E15+E24</f>
        <v>764186</v>
      </c>
      <c r="F12" s="90">
        <f t="shared" si="3"/>
        <v>366659.29</v>
      </c>
      <c r="G12" s="90">
        <f t="shared" si="3"/>
        <v>0</v>
      </c>
      <c r="H12" s="90">
        <f t="shared" si="3"/>
        <v>0</v>
      </c>
      <c r="I12" s="90">
        <f t="shared" si="3"/>
        <v>366659.29</v>
      </c>
      <c r="J12" s="90">
        <f t="shared" si="3"/>
        <v>397526.71</v>
      </c>
      <c r="K12" s="90">
        <f t="shared" si="3"/>
        <v>397526.71</v>
      </c>
    </row>
    <row r="13" spans="1:11" s="21" customFormat="1" ht="16.5" customHeight="1">
      <c r="A13" s="60" t="s">
        <v>54</v>
      </c>
      <c r="B13" s="61" t="s">
        <v>53</v>
      </c>
      <c r="C13" s="62" t="s">
        <v>498</v>
      </c>
      <c r="D13" s="63">
        <v>417000</v>
      </c>
      <c r="E13" s="63">
        <f aca="true" t="shared" si="4" ref="E13:E23">D13</f>
        <v>417000</v>
      </c>
      <c r="F13" s="63">
        <f>19000+32315.53+45911.52+29753.71+23620.96+25599.75</f>
        <v>176201.46999999997</v>
      </c>
      <c r="G13" s="63">
        <v>0</v>
      </c>
      <c r="H13" s="63">
        <v>0</v>
      </c>
      <c r="I13" s="63">
        <f aca="true" t="shared" si="5" ref="I13:I23">SUM(F13:H13)</f>
        <v>176201.46999999997</v>
      </c>
      <c r="J13" s="63">
        <f>D13-F13</f>
        <v>240798.53000000003</v>
      </c>
      <c r="K13" s="63">
        <f>E13-F13</f>
        <v>240798.53000000003</v>
      </c>
    </row>
    <row r="14" spans="1:11" s="21" customFormat="1" ht="16.5" customHeight="1" hidden="1">
      <c r="A14" s="60" t="s">
        <v>55</v>
      </c>
      <c r="B14" s="61" t="s">
        <v>53</v>
      </c>
      <c r="C14" s="62" t="s">
        <v>310</v>
      </c>
      <c r="D14" s="63">
        <f>3000-3000</f>
        <v>0</v>
      </c>
      <c r="E14" s="63">
        <f t="shared" si="4"/>
        <v>0</v>
      </c>
      <c r="F14" s="63">
        <v>0</v>
      </c>
      <c r="G14" s="63">
        <v>0</v>
      </c>
      <c r="H14" s="63">
        <v>0</v>
      </c>
      <c r="I14" s="63">
        <f t="shared" si="5"/>
        <v>0</v>
      </c>
      <c r="J14" s="63">
        <f aca="true" t="shared" si="6" ref="J14:J23">D14-F14</f>
        <v>0</v>
      </c>
      <c r="K14" s="63">
        <f aca="true" t="shared" si="7" ref="K14:K23">E14-F14</f>
        <v>0</v>
      </c>
    </row>
    <row r="15" spans="1:11" s="21" customFormat="1" ht="16.5" customHeight="1">
      <c r="A15" s="60" t="s">
        <v>56</v>
      </c>
      <c r="B15" s="61" t="s">
        <v>53</v>
      </c>
      <c r="C15" s="62" t="s">
        <v>499</v>
      </c>
      <c r="D15" s="63">
        <v>125600</v>
      </c>
      <c r="E15" s="63">
        <f t="shared" si="4"/>
        <v>125600</v>
      </c>
      <c r="F15" s="63">
        <f>9754.04+19909.51+1403.19+10863.63+10816.07</f>
        <v>52746.439999999995</v>
      </c>
      <c r="G15" s="63">
        <v>0</v>
      </c>
      <c r="H15" s="63">
        <v>0</v>
      </c>
      <c r="I15" s="63">
        <f t="shared" si="5"/>
        <v>52746.439999999995</v>
      </c>
      <c r="J15" s="63">
        <f t="shared" si="6"/>
        <v>72853.56</v>
      </c>
      <c r="K15" s="63">
        <f t="shared" si="7"/>
        <v>72853.56</v>
      </c>
    </row>
    <row r="16" spans="1:11" s="21" customFormat="1" ht="15" customHeight="1">
      <c r="A16" s="60" t="s">
        <v>57</v>
      </c>
      <c r="B16" s="61" t="s">
        <v>53</v>
      </c>
      <c r="C16" s="62" t="s">
        <v>500</v>
      </c>
      <c r="D16" s="63">
        <v>21900</v>
      </c>
      <c r="E16" s="63">
        <f t="shared" si="4"/>
        <v>21900</v>
      </c>
      <c r="F16" s="63">
        <f>2006.45+2858.89+2183.15+1716.31+1864.15</f>
        <v>10628.949999999999</v>
      </c>
      <c r="G16" s="63">
        <v>0</v>
      </c>
      <c r="H16" s="63">
        <v>0</v>
      </c>
      <c r="I16" s="63">
        <f t="shared" si="5"/>
        <v>10628.949999999999</v>
      </c>
      <c r="J16" s="63">
        <f t="shared" si="6"/>
        <v>11271.050000000001</v>
      </c>
      <c r="K16" s="63">
        <f t="shared" si="7"/>
        <v>11271.050000000001</v>
      </c>
    </row>
    <row r="17" spans="1:11" s="21" customFormat="1" ht="15" customHeight="1" hidden="1">
      <c r="A17" s="60" t="s">
        <v>58</v>
      </c>
      <c r="B17" s="61" t="s">
        <v>53</v>
      </c>
      <c r="C17" s="62" t="s">
        <v>311</v>
      </c>
      <c r="D17" s="63">
        <v>0</v>
      </c>
      <c r="E17" s="63">
        <f t="shared" si="4"/>
        <v>0</v>
      </c>
      <c r="F17" s="63">
        <v>0</v>
      </c>
      <c r="G17" s="63">
        <v>0</v>
      </c>
      <c r="H17" s="63">
        <v>0</v>
      </c>
      <c r="I17" s="63">
        <f t="shared" si="5"/>
        <v>0</v>
      </c>
      <c r="J17" s="63">
        <f t="shared" si="6"/>
        <v>0</v>
      </c>
      <c r="K17" s="63">
        <f t="shared" si="7"/>
        <v>0</v>
      </c>
    </row>
    <row r="18" spans="1:11" s="21" customFormat="1" ht="17.25" customHeight="1">
      <c r="A18" s="60" t="s">
        <v>59</v>
      </c>
      <c r="B18" s="61" t="s">
        <v>53</v>
      </c>
      <c r="C18" s="62" t="s">
        <v>501</v>
      </c>
      <c r="D18" s="63">
        <v>64800</v>
      </c>
      <c r="E18" s="63">
        <f t="shared" si="4"/>
        <v>64800</v>
      </c>
      <c r="F18" s="63">
        <f>7750.12+11557.82+15038.8+12335.08+1133.23</f>
        <v>47815.05</v>
      </c>
      <c r="G18" s="63">
        <v>0</v>
      </c>
      <c r="H18" s="63">
        <v>0</v>
      </c>
      <c r="I18" s="63">
        <f t="shared" si="5"/>
        <v>47815.05</v>
      </c>
      <c r="J18" s="63">
        <f t="shared" si="6"/>
        <v>16984.949999999997</v>
      </c>
      <c r="K18" s="63">
        <f t="shared" si="7"/>
        <v>16984.949999999997</v>
      </c>
    </row>
    <row r="19" spans="1:11" s="21" customFormat="1" ht="16.5" customHeight="1">
      <c r="A19" s="60" t="s">
        <v>60</v>
      </c>
      <c r="B19" s="61" t="s">
        <v>53</v>
      </c>
      <c r="C19" s="62" t="s">
        <v>502</v>
      </c>
      <c r="D19" s="63">
        <f>15001+25000</f>
        <v>40001</v>
      </c>
      <c r="E19" s="63">
        <f t="shared" si="4"/>
        <v>40001</v>
      </c>
      <c r="F19" s="63">
        <f>2402.09+9282.02+2610+7249.71+3813</f>
        <v>25356.82</v>
      </c>
      <c r="G19" s="63">
        <v>0</v>
      </c>
      <c r="H19" s="63">
        <v>0</v>
      </c>
      <c r="I19" s="63">
        <f t="shared" si="5"/>
        <v>25356.82</v>
      </c>
      <c r="J19" s="63">
        <f t="shared" si="6"/>
        <v>14644.18</v>
      </c>
      <c r="K19" s="63">
        <f t="shared" si="7"/>
        <v>14644.18</v>
      </c>
    </row>
    <row r="20" spans="1:11" s="21" customFormat="1" ht="16.5" customHeight="1">
      <c r="A20" s="60" t="s">
        <v>61</v>
      </c>
      <c r="B20" s="61" t="s">
        <v>53</v>
      </c>
      <c r="C20" s="62" t="s">
        <v>503</v>
      </c>
      <c r="D20" s="63">
        <f>10000+12000</f>
        <v>22000</v>
      </c>
      <c r="E20" s="63">
        <f t="shared" si="4"/>
        <v>22000</v>
      </c>
      <c r="F20" s="63">
        <f>750+297+1800+3209.56+228</f>
        <v>6284.5599999999995</v>
      </c>
      <c r="G20" s="63">
        <v>0</v>
      </c>
      <c r="H20" s="63">
        <v>0</v>
      </c>
      <c r="I20" s="63">
        <f t="shared" si="5"/>
        <v>6284.5599999999995</v>
      </c>
      <c r="J20" s="63">
        <f t="shared" si="6"/>
        <v>15715.44</v>
      </c>
      <c r="K20" s="63">
        <f t="shared" si="7"/>
        <v>15715.44</v>
      </c>
    </row>
    <row r="21" spans="1:11" s="21" customFormat="1" ht="16.5" customHeight="1" hidden="1">
      <c r="A21" s="60" t="s">
        <v>62</v>
      </c>
      <c r="B21" s="61" t="s">
        <v>53</v>
      </c>
      <c r="C21" s="62" t="s">
        <v>360</v>
      </c>
      <c r="D21" s="63">
        <v>0</v>
      </c>
      <c r="E21" s="63">
        <f t="shared" si="4"/>
        <v>0</v>
      </c>
      <c r="F21" s="63">
        <v>0</v>
      </c>
      <c r="G21" s="63">
        <v>0</v>
      </c>
      <c r="H21" s="63">
        <v>0</v>
      </c>
      <c r="I21" s="63">
        <f t="shared" si="5"/>
        <v>0</v>
      </c>
      <c r="J21" s="63">
        <f t="shared" si="6"/>
        <v>0</v>
      </c>
      <c r="K21" s="63">
        <f t="shared" si="7"/>
        <v>0</v>
      </c>
    </row>
    <row r="22" spans="1:11" s="21" customFormat="1" ht="21.75" customHeight="1" hidden="1">
      <c r="A22" s="60" t="s">
        <v>111</v>
      </c>
      <c r="B22" s="61" t="s">
        <v>53</v>
      </c>
      <c r="C22" s="62" t="s">
        <v>361</v>
      </c>
      <c r="D22" s="63">
        <v>0</v>
      </c>
      <c r="E22" s="63">
        <f t="shared" si="4"/>
        <v>0</v>
      </c>
      <c r="F22" s="63">
        <v>0</v>
      </c>
      <c r="G22" s="63">
        <v>0</v>
      </c>
      <c r="H22" s="63">
        <v>0</v>
      </c>
      <c r="I22" s="63">
        <f t="shared" si="5"/>
        <v>0</v>
      </c>
      <c r="J22" s="63">
        <f t="shared" si="6"/>
        <v>0</v>
      </c>
      <c r="K22" s="63">
        <f t="shared" si="7"/>
        <v>0</v>
      </c>
    </row>
    <row r="23" spans="1:11" s="21" customFormat="1" ht="30" customHeight="1">
      <c r="A23" s="60" t="s">
        <v>63</v>
      </c>
      <c r="B23" s="61" t="s">
        <v>53</v>
      </c>
      <c r="C23" s="62" t="s">
        <v>504</v>
      </c>
      <c r="D23" s="63">
        <f>24400+48485</f>
        <v>72885</v>
      </c>
      <c r="E23" s="63">
        <f t="shared" si="4"/>
        <v>72885</v>
      </c>
      <c r="F23" s="63">
        <f>678+19268+3070+7104+12436+5070</f>
        <v>47626</v>
      </c>
      <c r="G23" s="63">
        <v>0</v>
      </c>
      <c r="H23" s="63">
        <v>0</v>
      </c>
      <c r="I23" s="63">
        <f t="shared" si="5"/>
        <v>47626</v>
      </c>
      <c r="J23" s="63">
        <f t="shared" si="6"/>
        <v>25259</v>
      </c>
      <c r="K23" s="63">
        <f t="shared" si="7"/>
        <v>25259</v>
      </c>
    </row>
    <row r="24" spans="1:11" s="59" customFormat="1" ht="24.75" customHeight="1">
      <c r="A24" s="144" t="s">
        <v>373</v>
      </c>
      <c r="B24" s="73"/>
      <c r="C24" s="231">
        <v>8.66010400000101E+19</v>
      </c>
      <c r="D24" s="145">
        <f>D16+D18+D19+D20+D23</f>
        <v>221586</v>
      </c>
      <c r="E24" s="145">
        <f>E16+E18+E19+E20+E23</f>
        <v>221586</v>
      </c>
      <c r="F24" s="145">
        <f>F16+F18+F19+F20+F23</f>
        <v>137711.38</v>
      </c>
      <c r="G24" s="145">
        <f>G16+G18+G19+G20+G23</f>
        <v>0</v>
      </c>
      <c r="H24" s="145">
        <f>H16+H18+H19+H20+H23</f>
        <v>0</v>
      </c>
      <c r="I24" s="145">
        <f>F24+H24</f>
        <v>137711.38</v>
      </c>
      <c r="J24" s="145">
        <f>D24-F24</f>
        <v>83874.62</v>
      </c>
      <c r="K24" s="145">
        <f>E24-F24</f>
        <v>83874.62</v>
      </c>
    </row>
    <row r="25" spans="1:11" s="59" customFormat="1" ht="21.75" customHeight="1">
      <c r="A25" s="123" t="s">
        <v>288</v>
      </c>
      <c r="B25" s="73"/>
      <c r="C25" s="92" t="s">
        <v>528</v>
      </c>
      <c r="D25" s="90">
        <f>D26+D27+D28</f>
        <v>36900</v>
      </c>
      <c r="E25" s="90">
        <f aca="true" t="shared" si="8" ref="E25:K25">E26+E27+E28</f>
        <v>36900</v>
      </c>
      <c r="F25" s="90">
        <f t="shared" si="8"/>
        <v>8391.18</v>
      </c>
      <c r="G25" s="90">
        <f t="shared" si="8"/>
        <v>0</v>
      </c>
      <c r="H25" s="90">
        <f t="shared" si="8"/>
        <v>0</v>
      </c>
      <c r="I25" s="90">
        <f t="shared" si="8"/>
        <v>8391.18</v>
      </c>
      <c r="J25" s="90">
        <f t="shared" si="8"/>
        <v>28508.82</v>
      </c>
      <c r="K25" s="90">
        <f t="shared" si="8"/>
        <v>28508.82</v>
      </c>
    </row>
    <row r="26" spans="1:11" s="21" customFormat="1" ht="17.25" customHeight="1">
      <c r="A26" s="98" t="s">
        <v>127</v>
      </c>
      <c r="B26" s="61" t="s">
        <v>53</v>
      </c>
      <c r="C26" s="62" t="s">
        <v>505</v>
      </c>
      <c r="D26" s="63">
        <v>34079</v>
      </c>
      <c r="E26" s="63">
        <f>D26</f>
        <v>34079</v>
      </c>
      <c r="F26" s="63">
        <v>7475.98</v>
      </c>
      <c r="G26" s="63">
        <v>0</v>
      </c>
      <c r="H26" s="63">
        <v>0</v>
      </c>
      <c r="I26" s="63">
        <f aca="true" t="shared" si="9" ref="I26:I32">SUM(F26:H26)</f>
        <v>7475.98</v>
      </c>
      <c r="J26" s="63">
        <f>D26-F26</f>
        <v>26603.02</v>
      </c>
      <c r="K26" s="63">
        <f>E26-F26</f>
        <v>26603.02</v>
      </c>
    </row>
    <row r="27" spans="1:11" s="21" customFormat="1" ht="22.5" customHeight="1">
      <c r="A27" s="98" t="s">
        <v>127</v>
      </c>
      <c r="B27" s="61" t="s">
        <v>53</v>
      </c>
      <c r="C27" s="62" t="s">
        <v>506</v>
      </c>
      <c r="D27" s="63">
        <v>840</v>
      </c>
      <c r="E27" s="63">
        <f>D27</f>
        <v>840</v>
      </c>
      <c r="F27" s="63">
        <f>210+210</f>
        <v>420</v>
      </c>
      <c r="G27" s="63">
        <v>0</v>
      </c>
      <c r="H27" s="63">
        <v>0</v>
      </c>
      <c r="I27" s="63">
        <f t="shared" si="9"/>
        <v>420</v>
      </c>
      <c r="J27" s="63">
        <f>D27-F27</f>
        <v>420</v>
      </c>
      <c r="K27" s="63">
        <f>E27-F27</f>
        <v>420</v>
      </c>
    </row>
    <row r="28" spans="1:11" s="21" customFormat="1" ht="22.5" customHeight="1">
      <c r="A28" s="98" t="s">
        <v>127</v>
      </c>
      <c r="B28" s="61" t="s">
        <v>53</v>
      </c>
      <c r="C28" s="62" t="s">
        <v>507</v>
      </c>
      <c r="D28" s="63">
        <v>1981</v>
      </c>
      <c r="E28" s="63">
        <f>D28</f>
        <v>1981</v>
      </c>
      <c r="F28" s="63">
        <v>495.2</v>
      </c>
      <c r="G28" s="63">
        <v>0</v>
      </c>
      <c r="H28" s="63">
        <v>0</v>
      </c>
      <c r="I28" s="63">
        <f t="shared" si="9"/>
        <v>495.2</v>
      </c>
      <c r="J28" s="63">
        <f>D28-F28</f>
        <v>1485.8</v>
      </c>
      <c r="K28" s="63">
        <f>E28-F28</f>
        <v>1485.8</v>
      </c>
    </row>
    <row r="29" spans="1:11" s="21" customFormat="1" ht="29.25" customHeight="1">
      <c r="A29" s="98" t="s">
        <v>546</v>
      </c>
      <c r="B29" s="61"/>
      <c r="C29" s="92" t="s">
        <v>548</v>
      </c>
      <c r="D29" s="66">
        <f>D30</f>
        <v>8000</v>
      </c>
      <c r="E29" s="66">
        <f aca="true" t="shared" si="10" ref="E29:K29">E30</f>
        <v>8000</v>
      </c>
      <c r="F29" s="66">
        <f t="shared" si="10"/>
        <v>3906.3599999999997</v>
      </c>
      <c r="G29" s="66">
        <f t="shared" si="10"/>
        <v>0</v>
      </c>
      <c r="H29" s="66">
        <f t="shared" si="10"/>
        <v>0</v>
      </c>
      <c r="I29" s="66">
        <f t="shared" si="9"/>
        <v>3906.3599999999997</v>
      </c>
      <c r="J29" s="66">
        <f t="shared" si="10"/>
        <v>4093.6400000000003</v>
      </c>
      <c r="K29" s="66">
        <f t="shared" si="10"/>
        <v>4093.6400000000003</v>
      </c>
    </row>
    <row r="30" spans="1:11" s="21" customFormat="1" ht="22.5" customHeight="1">
      <c r="A30" s="60" t="s">
        <v>61</v>
      </c>
      <c r="B30" s="61" t="s">
        <v>53</v>
      </c>
      <c r="C30" s="62" t="s">
        <v>547</v>
      </c>
      <c r="D30" s="63">
        <v>8000</v>
      </c>
      <c r="E30" s="63">
        <f>D30</f>
        <v>8000</v>
      </c>
      <c r="F30" s="63">
        <f>2015.1+938.16+953.1</f>
        <v>3906.3599999999997</v>
      </c>
      <c r="G30" s="63"/>
      <c r="H30" s="63"/>
      <c r="I30" s="63">
        <f t="shared" si="9"/>
        <v>3906.3599999999997</v>
      </c>
      <c r="J30" s="63">
        <f>D30-F30</f>
        <v>4093.6400000000003</v>
      </c>
      <c r="K30" s="63">
        <f>E30-F30</f>
        <v>4093.6400000000003</v>
      </c>
    </row>
    <row r="31" spans="1:11" s="21" customFormat="1" ht="22.5" customHeight="1">
      <c r="A31" s="251" t="s">
        <v>492</v>
      </c>
      <c r="B31" s="61"/>
      <c r="C31" s="92" t="s">
        <v>549</v>
      </c>
      <c r="D31" s="63"/>
      <c r="E31" s="63"/>
      <c r="F31" s="63"/>
      <c r="G31" s="63"/>
      <c r="H31" s="63"/>
      <c r="I31" s="63">
        <f t="shared" si="9"/>
        <v>0</v>
      </c>
      <c r="J31" s="63"/>
      <c r="K31" s="63"/>
    </row>
    <row r="32" spans="1:11" s="21" customFormat="1" ht="22.5" customHeight="1">
      <c r="A32" s="98" t="s">
        <v>493</v>
      </c>
      <c r="B32" s="61" t="s">
        <v>53</v>
      </c>
      <c r="C32" s="62" t="s">
        <v>495</v>
      </c>
      <c r="D32" s="63">
        <f>D33</f>
        <v>3000</v>
      </c>
      <c r="E32" s="63">
        <f>E33</f>
        <v>3000</v>
      </c>
      <c r="F32" s="63">
        <f aca="true" t="shared" si="11" ref="F32:K32">F33</f>
        <v>0</v>
      </c>
      <c r="G32" s="63">
        <f t="shared" si="11"/>
        <v>0</v>
      </c>
      <c r="H32" s="63">
        <f t="shared" si="11"/>
        <v>0</v>
      </c>
      <c r="I32" s="63">
        <f t="shared" si="9"/>
        <v>0</v>
      </c>
      <c r="J32" s="63">
        <f t="shared" si="11"/>
        <v>3000</v>
      </c>
      <c r="K32" s="63">
        <f t="shared" si="11"/>
        <v>3000</v>
      </c>
    </row>
    <row r="33" spans="1:11" s="21" customFormat="1" ht="22.5" customHeight="1">
      <c r="A33" s="98" t="s">
        <v>494</v>
      </c>
      <c r="B33" s="61" t="s">
        <v>53</v>
      </c>
      <c r="C33" s="62" t="s">
        <v>495</v>
      </c>
      <c r="D33" s="63">
        <v>3000</v>
      </c>
      <c r="E33" s="63">
        <f>D33</f>
        <v>3000</v>
      </c>
      <c r="F33" s="63"/>
      <c r="G33" s="63"/>
      <c r="H33" s="63"/>
      <c r="I33" s="63"/>
      <c r="J33" s="63">
        <f>D33-F33</f>
        <v>3000</v>
      </c>
      <c r="K33" s="63">
        <f>E33-F33</f>
        <v>3000</v>
      </c>
    </row>
    <row r="34" spans="1:11" s="21" customFormat="1" ht="57.75" customHeight="1">
      <c r="A34" s="125" t="s">
        <v>352</v>
      </c>
      <c r="B34" s="88"/>
      <c r="C34" s="89" t="s">
        <v>107</v>
      </c>
      <c r="D34" s="66">
        <f>D12+D25+D29+D32</f>
        <v>812086</v>
      </c>
      <c r="E34" s="66">
        <f aca="true" t="shared" si="12" ref="E34:K34">E12+E25+E29+E32</f>
        <v>812086</v>
      </c>
      <c r="F34" s="66">
        <f t="shared" si="12"/>
        <v>378956.82999999996</v>
      </c>
      <c r="G34" s="66">
        <f t="shared" si="12"/>
        <v>0</v>
      </c>
      <c r="H34" s="66">
        <f t="shared" si="12"/>
        <v>0</v>
      </c>
      <c r="I34" s="66">
        <f t="shared" si="12"/>
        <v>378956.82999999996</v>
      </c>
      <c r="J34" s="66">
        <f t="shared" si="12"/>
        <v>433129.17000000004</v>
      </c>
      <c r="K34" s="66">
        <f t="shared" si="12"/>
        <v>433129.17000000004</v>
      </c>
    </row>
    <row r="35" spans="1:11" s="59" customFormat="1" ht="62.25" customHeight="1">
      <c r="A35" s="123" t="s">
        <v>362</v>
      </c>
      <c r="B35" s="61"/>
      <c r="C35" s="141" t="s">
        <v>527</v>
      </c>
      <c r="D35" s="90">
        <f>SUM(D36:D36)</f>
        <v>2000</v>
      </c>
      <c r="E35" s="90">
        <f aca="true" t="shared" si="13" ref="E35:K35">SUM(E36:E36)</f>
        <v>2000</v>
      </c>
      <c r="F35" s="90">
        <f>F36</f>
        <v>0</v>
      </c>
      <c r="G35" s="90">
        <f t="shared" si="13"/>
        <v>0</v>
      </c>
      <c r="H35" s="90">
        <f t="shared" si="13"/>
        <v>0</v>
      </c>
      <c r="I35" s="90">
        <f t="shared" si="13"/>
        <v>0</v>
      </c>
      <c r="J35" s="90">
        <f t="shared" si="13"/>
        <v>2000</v>
      </c>
      <c r="K35" s="90">
        <f t="shared" si="13"/>
        <v>2000</v>
      </c>
    </row>
    <row r="36" spans="1:11" s="21" customFormat="1" ht="28.5" customHeight="1">
      <c r="A36" s="112" t="s">
        <v>298</v>
      </c>
      <c r="B36" s="61" t="s">
        <v>53</v>
      </c>
      <c r="C36" s="62" t="s">
        <v>508</v>
      </c>
      <c r="D36" s="63">
        <v>2000</v>
      </c>
      <c r="E36" s="63">
        <f>D36</f>
        <v>2000</v>
      </c>
      <c r="F36" s="63">
        <v>0</v>
      </c>
      <c r="G36" s="63">
        <v>0</v>
      </c>
      <c r="H36" s="63">
        <v>0</v>
      </c>
      <c r="I36" s="63">
        <f>SUM(F36:H36)</f>
        <v>0</v>
      </c>
      <c r="J36" s="63">
        <f>D36-F36</f>
        <v>2000</v>
      </c>
      <c r="K36" s="63">
        <f>E36-F36</f>
        <v>2000</v>
      </c>
    </row>
    <row r="37" spans="1:11" s="21" customFormat="1" ht="54.75" customHeight="1">
      <c r="A37" s="125" t="s">
        <v>256</v>
      </c>
      <c r="B37" s="64"/>
      <c r="C37" s="65" t="s">
        <v>255</v>
      </c>
      <c r="D37" s="66">
        <f aca="true" t="shared" si="14" ref="D37:K37">D36</f>
        <v>2000</v>
      </c>
      <c r="E37" s="66">
        <f t="shared" si="14"/>
        <v>2000</v>
      </c>
      <c r="F37" s="66">
        <f>F35</f>
        <v>0</v>
      </c>
      <c r="G37" s="66">
        <f t="shared" si="14"/>
        <v>0</v>
      </c>
      <c r="H37" s="66">
        <f t="shared" si="14"/>
        <v>0</v>
      </c>
      <c r="I37" s="66">
        <f t="shared" si="14"/>
        <v>0</v>
      </c>
      <c r="J37" s="66">
        <f t="shared" si="14"/>
        <v>2000</v>
      </c>
      <c r="K37" s="66">
        <f t="shared" si="14"/>
        <v>2000</v>
      </c>
    </row>
    <row r="38" spans="1:11" s="21" customFormat="1" ht="28.5" customHeight="1" hidden="1">
      <c r="A38" s="126" t="s">
        <v>272</v>
      </c>
      <c r="B38" s="64"/>
      <c r="C38" s="65" t="s">
        <v>271</v>
      </c>
      <c r="D38" s="66">
        <f>SUM(D39:D39)</f>
        <v>0</v>
      </c>
      <c r="E38" s="66">
        <f>SUM(D39:D39)</f>
        <v>0</v>
      </c>
      <c r="F38" s="66">
        <f aca="true" t="shared" si="15" ref="F38:K38">SUM(F39:F39)</f>
        <v>0</v>
      </c>
      <c r="G38" s="66">
        <f t="shared" si="15"/>
        <v>0</v>
      </c>
      <c r="H38" s="66">
        <f t="shared" si="15"/>
        <v>0</v>
      </c>
      <c r="I38" s="66">
        <f t="shared" si="15"/>
        <v>0</v>
      </c>
      <c r="J38" s="66">
        <f t="shared" si="15"/>
        <v>0</v>
      </c>
      <c r="K38" s="66">
        <f t="shared" si="15"/>
        <v>0</v>
      </c>
    </row>
    <row r="39" spans="1:11" s="21" customFormat="1" ht="20.25" customHeight="1" hidden="1">
      <c r="A39" s="98" t="s">
        <v>62</v>
      </c>
      <c r="B39" s="61">
        <v>200</v>
      </c>
      <c r="C39" s="62" t="s">
        <v>276</v>
      </c>
      <c r="D39" s="63">
        <v>0</v>
      </c>
      <c r="E39" s="63">
        <f>D39</f>
        <v>0</v>
      </c>
      <c r="F39" s="117">
        <v>0</v>
      </c>
      <c r="G39" s="117">
        <v>0</v>
      </c>
      <c r="H39" s="117">
        <v>0</v>
      </c>
      <c r="I39" s="117">
        <f>SUM(F39:H39)</f>
        <v>0</v>
      </c>
      <c r="J39" s="66">
        <f>D39-F39</f>
        <v>0</v>
      </c>
      <c r="K39" s="66">
        <f>E39-F39</f>
        <v>0</v>
      </c>
    </row>
    <row r="40" spans="1:11" s="21" customFormat="1" ht="40.5" customHeight="1" hidden="1">
      <c r="A40" s="127" t="s">
        <v>274</v>
      </c>
      <c r="B40" s="64"/>
      <c r="C40" s="65" t="s">
        <v>273</v>
      </c>
      <c r="D40" s="66">
        <f>D38</f>
        <v>0</v>
      </c>
      <c r="E40" s="66">
        <f aca="true" t="shared" si="16" ref="E40:K40">E38</f>
        <v>0</v>
      </c>
      <c r="F40" s="66">
        <f t="shared" si="16"/>
        <v>0</v>
      </c>
      <c r="G40" s="66">
        <f t="shared" si="16"/>
        <v>0</v>
      </c>
      <c r="H40" s="66">
        <f t="shared" si="16"/>
        <v>0</v>
      </c>
      <c r="I40" s="66">
        <f t="shared" si="16"/>
        <v>0</v>
      </c>
      <c r="J40" s="66">
        <f t="shared" si="16"/>
        <v>0</v>
      </c>
      <c r="K40" s="66">
        <f t="shared" si="16"/>
        <v>0</v>
      </c>
    </row>
    <row r="41" spans="1:11" s="59" customFormat="1" ht="21" customHeight="1" hidden="1">
      <c r="A41" s="128" t="s">
        <v>176</v>
      </c>
      <c r="B41" s="73"/>
      <c r="C41" s="92" t="s">
        <v>471</v>
      </c>
      <c r="D41" s="90">
        <f aca="true" t="shared" si="17" ref="D41:K41">SUM(D42:D42)</f>
        <v>0</v>
      </c>
      <c r="E41" s="90">
        <f t="shared" si="17"/>
        <v>0</v>
      </c>
      <c r="F41" s="90">
        <f>F42</f>
        <v>0</v>
      </c>
      <c r="G41" s="90">
        <f t="shared" si="17"/>
        <v>0</v>
      </c>
      <c r="H41" s="90">
        <f t="shared" si="17"/>
        <v>0</v>
      </c>
      <c r="I41" s="90">
        <f t="shared" si="17"/>
        <v>0</v>
      </c>
      <c r="J41" s="90">
        <f t="shared" si="17"/>
        <v>0</v>
      </c>
      <c r="K41" s="90">
        <f t="shared" si="17"/>
        <v>0</v>
      </c>
    </row>
    <row r="42" spans="1:11" s="21" customFormat="1" ht="18.75" customHeight="1" hidden="1">
      <c r="A42" s="98" t="s">
        <v>62</v>
      </c>
      <c r="B42" s="61" t="s">
        <v>53</v>
      </c>
      <c r="C42" s="62" t="s">
        <v>472</v>
      </c>
      <c r="D42" s="63">
        <v>0</v>
      </c>
      <c r="E42" s="63">
        <f>D42</f>
        <v>0</v>
      </c>
      <c r="F42" s="63">
        <v>0</v>
      </c>
      <c r="G42" s="63">
        <v>0</v>
      </c>
      <c r="H42" s="63">
        <v>0</v>
      </c>
      <c r="I42" s="63">
        <f>SUM(F42:H42)</f>
        <v>0</v>
      </c>
      <c r="J42" s="63">
        <f>D42-F42</f>
        <v>0</v>
      </c>
      <c r="K42" s="63">
        <f>E42-F42</f>
        <v>0</v>
      </c>
    </row>
    <row r="43" spans="1:11" s="21" customFormat="1" ht="16.5" customHeight="1" hidden="1">
      <c r="A43" s="124" t="s">
        <v>119</v>
      </c>
      <c r="B43" s="64"/>
      <c r="C43" s="65" t="s">
        <v>259</v>
      </c>
      <c r="D43" s="66">
        <f>D42</f>
        <v>0</v>
      </c>
      <c r="E43" s="66">
        <f aca="true" t="shared" si="18" ref="E43:K43">E42</f>
        <v>0</v>
      </c>
      <c r="F43" s="66">
        <f>F41</f>
        <v>0</v>
      </c>
      <c r="G43" s="66">
        <f t="shared" si="18"/>
        <v>0</v>
      </c>
      <c r="H43" s="66">
        <f t="shared" si="18"/>
        <v>0</v>
      </c>
      <c r="I43" s="66">
        <f t="shared" si="18"/>
        <v>0</v>
      </c>
      <c r="J43" s="66">
        <f t="shared" si="18"/>
        <v>0</v>
      </c>
      <c r="K43" s="66">
        <f t="shared" si="18"/>
        <v>0</v>
      </c>
    </row>
    <row r="44" spans="1:11" s="21" customFormat="1" ht="45.75" customHeight="1">
      <c r="A44" s="128" t="s">
        <v>363</v>
      </c>
      <c r="B44" s="64"/>
      <c r="C44" s="92" t="s">
        <v>529</v>
      </c>
      <c r="D44" s="66">
        <f>D45</f>
        <v>1915</v>
      </c>
      <c r="E44" s="66">
        <f>E45</f>
        <v>1915</v>
      </c>
      <c r="F44" s="66">
        <f>F45</f>
        <v>0</v>
      </c>
      <c r="G44" s="66">
        <f>SUM(G45:G45)</f>
        <v>0</v>
      </c>
      <c r="H44" s="66">
        <f>SUM(H45:H45)</f>
        <v>0</v>
      </c>
      <c r="I44" s="66">
        <f>SUM(I45:I45)</f>
        <v>0</v>
      </c>
      <c r="J44" s="66">
        <f>SUM(J45:J45)</f>
        <v>1915</v>
      </c>
      <c r="K44" s="66">
        <f>SUM(K45:K45)</f>
        <v>1915</v>
      </c>
    </row>
    <row r="45" spans="1:11" s="21" customFormat="1" ht="16.5" customHeight="1">
      <c r="A45" s="98" t="s">
        <v>61</v>
      </c>
      <c r="B45" s="61">
        <v>200</v>
      </c>
      <c r="C45" s="62" t="s">
        <v>509</v>
      </c>
      <c r="D45" s="63">
        <v>1915</v>
      </c>
      <c r="E45" s="63">
        <f>D45</f>
        <v>1915</v>
      </c>
      <c r="F45" s="117">
        <v>0</v>
      </c>
      <c r="G45" s="117">
        <v>0</v>
      </c>
      <c r="H45" s="117">
        <v>0</v>
      </c>
      <c r="I45" s="117">
        <f>F45+G45+H45</f>
        <v>0</v>
      </c>
      <c r="J45" s="117">
        <f>D45-F45</f>
        <v>1915</v>
      </c>
      <c r="K45" s="117">
        <f>E45-F45</f>
        <v>1915</v>
      </c>
    </row>
    <row r="46" spans="1:11" s="21" customFormat="1" ht="35.25" customHeight="1">
      <c r="A46" s="128" t="s">
        <v>245</v>
      </c>
      <c r="B46" s="64"/>
      <c r="C46" s="92" t="s">
        <v>543</v>
      </c>
      <c r="D46" s="66">
        <f>SUM(D47:D49)</f>
        <v>15700</v>
      </c>
      <c r="E46" s="66">
        <f>SUM(E47:E49)</f>
        <v>15700</v>
      </c>
      <c r="F46" s="66">
        <f>F47+F48</f>
        <v>0</v>
      </c>
      <c r="G46" s="66">
        <f>SUM(G47:G48)</f>
        <v>0</v>
      </c>
      <c r="H46" s="66">
        <f>SUM(H47:H48)</f>
        <v>0</v>
      </c>
      <c r="I46" s="66">
        <f>SUM(I47:I48)</f>
        <v>0</v>
      </c>
      <c r="J46" s="90">
        <f>SUM(J47:J49)</f>
        <v>15700</v>
      </c>
      <c r="K46" s="90">
        <f>SUM(K47:K49)</f>
        <v>15700</v>
      </c>
    </row>
    <row r="47" spans="1:11" s="21" customFormat="1" ht="15" customHeight="1">
      <c r="A47" s="98" t="s">
        <v>59</v>
      </c>
      <c r="B47" s="61" t="s">
        <v>53</v>
      </c>
      <c r="C47" s="62" t="s">
        <v>510</v>
      </c>
      <c r="D47" s="63">
        <v>15700</v>
      </c>
      <c r="E47" s="63">
        <f>D47</f>
        <v>15700</v>
      </c>
      <c r="F47" s="63">
        <v>0</v>
      </c>
      <c r="G47" s="117">
        <v>0</v>
      </c>
      <c r="H47" s="117">
        <v>0</v>
      </c>
      <c r="I47" s="117">
        <f>SUM(F47:H47)</f>
        <v>0</v>
      </c>
      <c r="J47" s="117">
        <f>D47-F47</f>
        <v>15700</v>
      </c>
      <c r="K47" s="117">
        <f>E47-F47</f>
        <v>15700</v>
      </c>
    </row>
    <row r="48" spans="1:11" s="21" customFormat="1" ht="15" customHeight="1" hidden="1">
      <c r="A48" s="98" t="s">
        <v>60</v>
      </c>
      <c r="B48" s="61" t="s">
        <v>53</v>
      </c>
      <c r="C48" s="62" t="s">
        <v>364</v>
      </c>
      <c r="D48" s="63">
        <v>0</v>
      </c>
      <c r="E48" s="63">
        <f>D48</f>
        <v>0</v>
      </c>
      <c r="F48" s="63">
        <v>0</v>
      </c>
      <c r="G48" s="117">
        <v>0</v>
      </c>
      <c r="H48" s="117">
        <v>0</v>
      </c>
      <c r="I48" s="117">
        <f>SUM(F48:H48)</f>
        <v>0</v>
      </c>
      <c r="J48" s="117">
        <f>D48-F48</f>
        <v>0</v>
      </c>
      <c r="K48" s="117">
        <f>E48-F48</f>
        <v>0</v>
      </c>
    </row>
    <row r="49" spans="1:11" s="21" customFormat="1" ht="15" customHeight="1" hidden="1">
      <c r="A49" s="60" t="s">
        <v>61</v>
      </c>
      <c r="B49" s="61" t="s">
        <v>53</v>
      </c>
      <c r="C49" s="62" t="s">
        <v>249</v>
      </c>
      <c r="D49" s="63"/>
      <c r="E49" s="63">
        <f>D49</f>
        <v>0</v>
      </c>
      <c r="F49" s="117">
        <v>0</v>
      </c>
      <c r="G49" s="117">
        <v>0</v>
      </c>
      <c r="H49" s="117">
        <v>0</v>
      </c>
      <c r="I49" s="117">
        <f>SUM(F49:H49)</f>
        <v>0</v>
      </c>
      <c r="J49" s="117">
        <f>D49-F49</f>
        <v>0</v>
      </c>
      <c r="K49" s="117">
        <f>E49-F49</f>
        <v>0</v>
      </c>
    </row>
    <row r="50" spans="1:11" s="21" customFormat="1" ht="44.25" customHeight="1">
      <c r="A50" s="98" t="s">
        <v>551</v>
      </c>
      <c r="B50" s="61"/>
      <c r="C50" s="92" t="s">
        <v>552</v>
      </c>
      <c r="D50" s="66">
        <f>D52</f>
        <v>15500</v>
      </c>
      <c r="E50" s="66">
        <f aca="true" t="shared" si="19" ref="E50:K50">E52</f>
        <v>15500</v>
      </c>
      <c r="F50" s="66">
        <f t="shared" si="19"/>
        <v>7421</v>
      </c>
      <c r="G50" s="66">
        <f t="shared" si="19"/>
        <v>0</v>
      </c>
      <c r="H50" s="66">
        <f t="shared" si="19"/>
        <v>0</v>
      </c>
      <c r="I50" s="66">
        <f t="shared" si="19"/>
        <v>7421</v>
      </c>
      <c r="J50" s="66">
        <f t="shared" si="19"/>
        <v>8079</v>
      </c>
      <c r="K50" s="66">
        <f t="shared" si="19"/>
        <v>8079</v>
      </c>
    </row>
    <row r="51" spans="1:11" s="59" customFormat="1" ht="19.5" customHeight="1" hidden="1">
      <c r="A51" s="138" t="s">
        <v>493</v>
      </c>
      <c r="B51" s="73"/>
      <c r="D51" s="90"/>
      <c r="E51" s="90"/>
      <c r="F51" s="90"/>
      <c r="G51" s="90"/>
      <c r="H51" s="90"/>
      <c r="I51" s="90"/>
      <c r="J51" s="90"/>
      <c r="K51" s="90"/>
    </row>
    <row r="52" spans="1:16" s="21" customFormat="1" ht="16.5" customHeight="1">
      <c r="A52" s="98" t="s">
        <v>494</v>
      </c>
      <c r="B52" s="61" t="s">
        <v>53</v>
      </c>
      <c r="C52" s="62" t="s">
        <v>553</v>
      </c>
      <c r="D52" s="63">
        <v>15500</v>
      </c>
      <c r="E52" s="63">
        <f>D52</f>
        <v>15500</v>
      </c>
      <c r="F52" s="63">
        <v>7421</v>
      </c>
      <c r="G52" s="63">
        <v>0</v>
      </c>
      <c r="H52" s="63">
        <v>0</v>
      </c>
      <c r="I52" s="63">
        <f>SUM(F52:H52)</f>
        <v>7421</v>
      </c>
      <c r="J52" s="63">
        <f>D52-F52</f>
        <v>8079</v>
      </c>
      <c r="K52" s="63">
        <f>E52-F52</f>
        <v>8079</v>
      </c>
      <c r="P52" s="252"/>
    </row>
    <row r="53" spans="1:11" s="21" customFormat="1" ht="16.5" customHeight="1" hidden="1">
      <c r="A53" s="60" t="s">
        <v>59</v>
      </c>
      <c r="B53" s="61" t="s">
        <v>53</v>
      </c>
      <c r="C53" s="62" t="s">
        <v>243</v>
      </c>
      <c r="D53" s="63">
        <v>0</v>
      </c>
      <c r="E53" s="63">
        <f>D53</f>
        <v>0</v>
      </c>
      <c r="F53" s="63">
        <v>0</v>
      </c>
      <c r="G53" s="63">
        <v>0</v>
      </c>
      <c r="H53" s="63">
        <v>0</v>
      </c>
      <c r="I53" s="63">
        <f>SUM(F53:H53)</f>
        <v>0</v>
      </c>
      <c r="J53" s="63">
        <f>D53-F53</f>
        <v>0</v>
      </c>
      <c r="K53" s="63">
        <f>E53-F53</f>
        <v>0</v>
      </c>
    </row>
    <row r="54" spans="1:11" s="21" customFormat="1" ht="16.5" customHeight="1" hidden="1">
      <c r="A54" s="60" t="s">
        <v>60</v>
      </c>
      <c r="B54" s="61" t="s">
        <v>53</v>
      </c>
      <c r="C54" s="62" t="s">
        <v>244</v>
      </c>
      <c r="D54" s="63">
        <v>0</v>
      </c>
      <c r="E54" s="63">
        <f>D54</f>
        <v>0</v>
      </c>
      <c r="F54" s="63">
        <v>0</v>
      </c>
      <c r="G54" s="63">
        <v>0</v>
      </c>
      <c r="H54" s="63">
        <v>0</v>
      </c>
      <c r="I54" s="63">
        <f>SUM(F54:H54)</f>
        <v>0</v>
      </c>
      <c r="J54" s="63">
        <f>D54-F54</f>
        <v>0</v>
      </c>
      <c r="K54" s="63">
        <f>E54-F54</f>
        <v>0</v>
      </c>
    </row>
    <row r="55" spans="1:11" s="21" customFormat="1" ht="16.5" customHeight="1" hidden="1">
      <c r="A55" s="60" t="s">
        <v>62</v>
      </c>
      <c r="B55" s="61" t="s">
        <v>53</v>
      </c>
      <c r="C55" s="62" t="s">
        <v>277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f>SUM(F55:H55)</f>
        <v>0</v>
      </c>
      <c r="J55" s="63">
        <f>D55-F55</f>
        <v>0</v>
      </c>
      <c r="K55" s="63">
        <f>E55-F55</f>
        <v>0</v>
      </c>
    </row>
    <row r="56" spans="1:11" s="21" customFormat="1" ht="49.5" customHeight="1">
      <c r="A56" s="123" t="s">
        <v>365</v>
      </c>
      <c r="B56" s="61"/>
      <c r="C56" s="92" t="s">
        <v>542</v>
      </c>
      <c r="D56" s="90">
        <f aca="true" t="shared" si="20" ref="D56:K56">SUM(D57:D57)</f>
        <v>500</v>
      </c>
      <c r="E56" s="90">
        <f t="shared" si="20"/>
        <v>500</v>
      </c>
      <c r="F56" s="90">
        <f>F57</f>
        <v>0</v>
      </c>
      <c r="G56" s="90">
        <f t="shared" si="20"/>
        <v>0</v>
      </c>
      <c r="H56" s="90">
        <f t="shared" si="20"/>
        <v>0</v>
      </c>
      <c r="I56" s="90">
        <f t="shared" si="20"/>
        <v>0</v>
      </c>
      <c r="J56" s="90">
        <f t="shared" si="20"/>
        <v>500</v>
      </c>
      <c r="K56" s="90">
        <f t="shared" si="20"/>
        <v>500</v>
      </c>
    </row>
    <row r="57" spans="1:11" s="21" customFormat="1" ht="30.75" customHeight="1">
      <c r="A57" s="112" t="s">
        <v>298</v>
      </c>
      <c r="B57" s="61" t="s">
        <v>53</v>
      </c>
      <c r="C57" s="62" t="s">
        <v>511</v>
      </c>
      <c r="D57" s="63">
        <f>500</f>
        <v>500</v>
      </c>
      <c r="E57" s="63">
        <f>D57</f>
        <v>500</v>
      </c>
      <c r="F57" s="63">
        <v>0</v>
      </c>
      <c r="G57" s="63">
        <v>0</v>
      </c>
      <c r="H57" s="63">
        <v>0</v>
      </c>
      <c r="I57" s="63">
        <f>SUM(F57:H57)</f>
        <v>0</v>
      </c>
      <c r="J57" s="63">
        <f>D57-F57</f>
        <v>500</v>
      </c>
      <c r="K57" s="63">
        <f>E57-F57</f>
        <v>500</v>
      </c>
    </row>
    <row r="58" spans="1:11" s="21" customFormat="1" ht="8.25" customHeight="1" hidden="1">
      <c r="A58" s="93" t="s">
        <v>220</v>
      </c>
      <c r="B58" s="61"/>
      <c r="C58" s="113" t="s">
        <v>221</v>
      </c>
      <c r="D58" s="90">
        <f>SUM(D59:D59)</f>
        <v>0</v>
      </c>
      <c r="E58" s="90">
        <f aca="true" t="shared" si="21" ref="E58:K58">SUM(E59:E59)</f>
        <v>0</v>
      </c>
      <c r="F58" s="90">
        <f t="shared" si="21"/>
        <v>0</v>
      </c>
      <c r="G58" s="90">
        <f t="shared" si="21"/>
        <v>0</v>
      </c>
      <c r="H58" s="90">
        <f t="shared" si="21"/>
        <v>0</v>
      </c>
      <c r="I58" s="90">
        <f t="shared" si="21"/>
        <v>0</v>
      </c>
      <c r="J58" s="90">
        <f t="shared" si="21"/>
        <v>0</v>
      </c>
      <c r="K58" s="90">
        <f t="shared" si="21"/>
        <v>0</v>
      </c>
    </row>
    <row r="59" spans="1:11" s="21" customFormat="1" ht="10.5" customHeight="1" hidden="1">
      <c r="A59" s="112" t="s">
        <v>219</v>
      </c>
      <c r="B59" s="61" t="s">
        <v>53</v>
      </c>
      <c r="C59" s="62" t="s">
        <v>230</v>
      </c>
      <c r="D59" s="63">
        <v>0</v>
      </c>
      <c r="E59" s="63">
        <f>D59</f>
        <v>0</v>
      </c>
      <c r="F59" s="63">
        <v>0</v>
      </c>
      <c r="G59" s="63"/>
      <c r="H59" s="63"/>
      <c r="I59" s="63">
        <f>SUM(F59:H59)</f>
        <v>0</v>
      </c>
      <c r="J59" s="63">
        <f>D59-F59</f>
        <v>0</v>
      </c>
      <c r="K59" s="63">
        <f>E59-F59</f>
        <v>0</v>
      </c>
    </row>
    <row r="60" spans="1:11" s="21" customFormat="1" ht="30" customHeight="1">
      <c r="A60" s="124" t="s">
        <v>354</v>
      </c>
      <c r="B60" s="64"/>
      <c r="C60" s="65" t="s">
        <v>183</v>
      </c>
      <c r="D60" s="66">
        <f>D46+D50+D56+D44</f>
        <v>33615</v>
      </c>
      <c r="E60" s="66">
        <f aca="true" t="shared" si="22" ref="E60:K60">E46+E50+E56+E44</f>
        <v>33615</v>
      </c>
      <c r="F60" s="66">
        <f t="shared" si="22"/>
        <v>7421</v>
      </c>
      <c r="G60" s="66">
        <f t="shared" si="22"/>
        <v>0</v>
      </c>
      <c r="H60" s="66">
        <f t="shared" si="22"/>
        <v>0</v>
      </c>
      <c r="I60" s="66">
        <f t="shared" si="22"/>
        <v>7421</v>
      </c>
      <c r="J60" s="66">
        <f t="shared" si="22"/>
        <v>26194</v>
      </c>
      <c r="K60" s="66">
        <f t="shared" si="22"/>
        <v>26194</v>
      </c>
    </row>
    <row r="61" spans="1:11" s="21" customFormat="1" ht="30" customHeight="1">
      <c r="A61" s="125" t="s">
        <v>353</v>
      </c>
      <c r="B61" s="64"/>
      <c r="C61" s="89" t="s">
        <v>339</v>
      </c>
      <c r="D61" s="66">
        <f>D11+D34+D37+D43+D60</f>
        <v>1229101</v>
      </c>
      <c r="E61" s="66">
        <f>D61</f>
        <v>1229101</v>
      </c>
      <c r="F61" s="66">
        <f>F11+F34+F43+F37+F60</f>
        <v>542332.97</v>
      </c>
      <c r="G61" s="66">
        <f>G11+G34+G37+G43+G60</f>
        <v>0</v>
      </c>
      <c r="H61" s="66">
        <f>H11+H34+H37+H43+H60</f>
        <v>0</v>
      </c>
      <c r="I61" s="66">
        <f>I11+I34+I37+I43+I60</f>
        <v>542332.97</v>
      </c>
      <c r="J61" s="66">
        <f>D61-F61</f>
        <v>686768.03</v>
      </c>
      <c r="K61" s="66">
        <f>E61-F61</f>
        <v>686768.03</v>
      </c>
    </row>
    <row r="62" spans="1:11" s="59" customFormat="1" ht="57" customHeight="1">
      <c r="A62" s="123" t="s">
        <v>278</v>
      </c>
      <c r="B62" s="73"/>
      <c r="C62" s="92" t="s">
        <v>541</v>
      </c>
      <c r="D62" s="90">
        <f>SUM(D63:D67)</f>
        <v>63999</v>
      </c>
      <c r="E62" s="90">
        <f aca="true" t="shared" si="23" ref="E62:K62">SUM(E63:E67)</f>
        <v>63999</v>
      </c>
      <c r="F62" s="90">
        <f>F63+F64+F67</f>
        <v>26743.64</v>
      </c>
      <c r="G62" s="90">
        <f t="shared" si="23"/>
        <v>0</v>
      </c>
      <c r="H62" s="90">
        <f t="shared" si="23"/>
        <v>0</v>
      </c>
      <c r="I62" s="90">
        <f t="shared" si="23"/>
        <v>26743.64</v>
      </c>
      <c r="J62" s="90">
        <f t="shared" si="23"/>
        <v>37255.36</v>
      </c>
      <c r="K62" s="90">
        <f t="shared" si="23"/>
        <v>37255.36</v>
      </c>
    </row>
    <row r="63" spans="1:11" s="21" customFormat="1" ht="16.5" customHeight="1">
      <c r="A63" s="60" t="s">
        <v>54</v>
      </c>
      <c r="B63" s="61" t="s">
        <v>53</v>
      </c>
      <c r="C63" s="62" t="s">
        <v>512</v>
      </c>
      <c r="D63" s="63">
        <v>45500</v>
      </c>
      <c r="E63" s="63">
        <f>D63</f>
        <v>45500</v>
      </c>
      <c r="F63" s="63">
        <f>5170.7+5239.7+3583.6+4320+2465.2</f>
        <v>20779.2</v>
      </c>
      <c r="G63" s="63">
        <v>0</v>
      </c>
      <c r="H63" s="63">
        <v>0</v>
      </c>
      <c r="I63" s="63">
        <f>SUM(F63:H63)</f>
        <v>20779.2</v>
      </c>
      <c r="J63" s="63">
        <f>D63-F63</f>
        <v>24720.8</v>
      </c>
      <c r="K63" s="63">
        <f>E63-F63</f>
        <v>24720.8</v>
      </c>
    </row>
    <row r="64" spans="1:11" s="21" customFormat="1" ht="17.25" customHeight="1">
      <c r="A64" s="60" t="s">
        <v>56</v>
      </c>
      <c r="B64" s="61" t="s">
        <v>53</v>
      </c>
      <c r="C64" s="62" t="s">
        <v>513</v>
      </c>
      <c r="D64" s="63">
        <v>13800</v>
      </c>
      <c r="E64" s="63">
        <f>D64</f>
        <v>13800</v>
      </c>
      <c r="F64" s="63">
        <f>1108.55+2353.76+1153.64+1348.49</f>
        <v>5964.4400000000005</v>
      </c>
      <c r="G64" s="63">
        <v>0</v>
      </c>
      <c r="H64" s="63">
        <v>0</v>
      </c>
      <c r="I64" s="63">
        <f>SUM(F64:H64)</f>
        <v>5964.4400000000005</v>
      </c>
      <c r="J64" s="63">
        <f>D64-F64</f>
        <v>7835.5599999999995</v>
      </c>
      <c r="K64" s="63">
        <f>E64-F64</f>
        <v>7835.5599999999995</v>
      </c>
    </row>
    <row r="65" spans="1:11" s="21" customFormat="1" ht="15" customHeight="1" hidden="1">
      <c r="A65" s="60" t="s">
        <v>61</v>
      </c>
      <c r="B65" s="61" t="s">
        <v>53</v>
      </c>
      <c r="C65" s="62" t="s">
        <v>205</v>
      </c>
      <c r="D65" s="63">
        <v>0</v>
      </c>
      <c r="E65" s="63">
        <f>D65</f>
        <v>0</v>
      </c>
      <c r="F65" s="63">
        <v>0</v>
      </c>
      <c r="G65" s="63">
        <v>0</v>
      </c>
      <c r="H65" s="63">
        <v>0</v>
      </c>
      <c r="I65" s="63">
        <f>SUM(F65:H65)</f>
        <v>0</v>
      </c>
      <c r="J65" s="63">
        <f>D65-F65</f>
        <v>0</v>
      </c>
      <c r="K65" s="63">
        <f>E65-F65</f>
        <v>0</v>
      </c>
    </row>
    <row r="66" spans="1:11" s="21" customFormat="1" ht="1.5" customHeight="1" hidden="1">
      <c r="A66" s="60" t="s">
        <v>181</v>
      </c>
      <c r="B66" s="61" t="s">
        <v>53</v>
      </c>
      <c r="C66" s="62" t="s">
        <v>182</v>
      </c>
      <c r="D66" s="63">
        <v>0</v>
      </c>
      <c r="E66" s="63">
        <f>D66</f>
        <v>0</v>
      </c>
      <c r="F66" s="63"/>
      <c r="G66" s="63">
        <v>0</v>
      </c>
      <c r="H66" s="63">
        <v>0</v>
      </c>
      <c r="I66" s="63">
        <f>SUM(F66:H66)</f>
        <v>0</v>
      </c>
      <c r="J66" s="63">
        <f>D66-F66</f>
        <v>0</v>
      </c>
      <c r="K66" s="63">
        <f>E66-F66</f>
        <v>0</v>
      </c>
    </row>
    <row r="67" spans="1:11" s="21" customFormat="1" ht="29.25" customHeight="1">
      <c r="A67" s="60" t="s">
        <v>63</v>
      </c>
      <c r="B67" s="61" t="s">
        <v>53</v>
      </c>
      <c r="C67" s="62" t="s">
        <v>514</v>
      </c>
      <c r="D67" s="63">
        <v>4699</v>
      </c>
      <c r="E67" s="63">
        <f>D67</f>
        <v>4699</v>
      </c>
      <c r="F67" s="63">
        <v>0</v>
      </c>
      <c r="G67" s="63">
        <v>0</v>
      </c>
      <c r="H67" s="63">
        <v>0</v>
      </c>
      <c r="I67" s="63">
        <f>SUM(F67:H67)</f>
        <v>0</v>
      </c>
      <c r="J67" s="63">
        <f>D67-F67</f>
        <v>4699</v>
      </c>
      <c r="K67" s="63">
        <f>E67-F67</f>
        <v>4699</v>
      </c>
    </row>
    <row r="68" spans="1:11" s="21" customFormat="1" ht="30" customHeight="1">
      <c r="A68" s="124" t="s">
        <v>355</v>
      </c>
      <c r="B68" s="64"/>
      <c r="C68" s="65" t="s">
        <v>102</v>
      </c>
      <c r="D68" s="66">
        <f aca="true" t="shared" si="24" ref="D68:K68">SUM(D63:D67)</f>
        <v>63999</v>
      </c>
      <c r="E68" s="66">
        <f t="shared" si="24"/>
        <v>63999</v>
      </c>
      <c r="F68" s="66">
        <f>F62</f>
        <v>26743.64</v>
      </c>
      <c r="G68" s="66">
        <f t="shared" si="24"/>
        <v>0</v>
      </c>
      <c r="H68" s="66">
        <f t="shared" si="24"/>
        <v>0</v>
      </c>
      <c r="I68" s="66">
        <f t="shared" si="24"/>
        <v>26743.64</v>
      </c>
      <c r="J68" s="66">
        <f t="shared" si="24"/>
        <v>37255.36</v>
      </c>
      <c r="K68" s="66">
        <f t="shared" si="24"/>
        <v>37255.36</v>
      </c>
    </row>
    <row r="69" spans="1:11" s="21" customFormat="1" ht="46.5" customHeight="1" hidden="1">
      <c r="A69" s="123" t="s">
        <v>270</v>
      </c>
      <c r="B69" s="61"/>
      <c r="C69" s="113" t="s">
        <v>269</v>
      </c>
      <c r="D69" s="90">
        <f aca="true" t="shared" si="25" ref="D69:K69">SUM(D70:D70)</f>
        <v>0</v>
      </c>
      <c r="E69" s="90">
        <f t="shared" si="25"/>
        <v>0</v>
      </c>
      <c r="F69" s="90">
        <f t="shared" si="25"/>
        <v>0</v>
      </c>
      <c r="G69" s="90">
        <f t="shared" si="25"/>
        <v>0</v>
      </c>
      <c r="H69" s="90">
        <f t="shared" si="25"/>
        <v>0</v>
      </c>
      <c r="I69" s="90">
        <f t="shared" si="25"/>
        <v>0</v>
      </c>
      <c r="J69" s="90">
        <f t="shared" si="25"/>
        <v>0</v>
      </c>
      <c r="K69" s="90">
        <f t="shared" si="25"/>
        <v>0</v>
      </c>
    </row>
    <row r="70" spans="1:11" s="21" customFormat="1" ht="21.75" customHeight="1" hidden="1">
      <c r="A70" s="112" t="s">
        <v>219</v>
      </c>
      <c r="B70" s="61">
        <v>200</v>
      </c>
      <c r="C70" s="62" t="s">
        <v>290</v>
      </c>
      <c r="D70" s="63">
        <v>0</v>
      </c>
      <c r="E70" s="63">
        <f>D70</f>
        <v>0</v>
      </c>
      <c r="F70" s="63">
        <v>0</v>
      </c>
      <c r="G70" s="63">
        <v>0</v>
      </c>
      <c r="H70" s="63">
        <v>0</v>
      </c>
      <c r="I70" s="63">
        <f>SUM(F70:H70)</f>
        <v>0</v>
      </c>
      <c r="J70" s="63">
        <f>D70-F70</f>
        <v>0</v>
      </c>
      <c r="K70" s="63">
        <f>E70-F70</f>
        <v>0</v>
      </c>
    </row>
    <row r="71" spans="1:11" s="21" customFormat="1" ht="30" customHeight="1" hidden="1">
      <c r="A71" s="103" t="s">
        <v>195</v>
      </c>
      <c r="B71" s="64"/>
      <c r="C71" s="65" t="s">
        <v>196</v>
      </c>
      <c r="D71" s="66">
        <f aca="true" t="shared" si="26" ref="D71:K71">D70</f>
        <v>0</v>
      </c>
      <c r="E71" s="66">
        <f t="shared" si="26"/>
        <v>0</v>
      </c>
      <c r="F71" s="66">
        <f>F69</f>
        <v>0</v>
      </c>
      <c r="G71" s="66">
        <f t="shared" si="26"/>
        <v>0</v>
      </c>
      <c r="H71" s="66">
        <f t="shared" si="26"/>
        <v>0</v>
      </c>
      <c r="I71" s="66">
        <f t="shared" si="26"/>
        <v>0</v>
      </c>
      <c r="J71" s="66">
        <f t="shared" si="26"/>
        <v>0</v>
      </c>
      <c r="K71" s="66">
        <f t="shared" si="26"/>
        <v>0</v>
      </c>
    </row>
    <row r="72" spans="1:11" s="21" customFormat="1" ht="30" customHeight="1">
      <c r="A72" s="139" t="s">
        <v>341</v>
      </c>
      <c r="B72" s="64"/>
      <c r="C72" s="89" t="s">
        <v>340</v>
      </c>
      <c r="D72" s="66">
        <f aca="true" t="shared" si="27" ref="D72:I72">D68</f>
        <v>63999</v>
      </c>
      <c r="E72" s="66">
        <f t="shared" si="27"/>
        <v>63999</v>
      </c>
      <c r="F72" s="66">
        <f t="shared" si="27"/>
        <v>26743.64</v>
      </c>
      <c r="G72" s="66">
        <f t="shared" si="27"/>
        <v>0</v>
      </c>
      <c r="H72" s="66">
        <f t="shared" si="27"/>
        <v>0</v>
      </c>
      <c r="I72" s="66">
        <f t="shared" si="27"/>
        <v>26743.64</v>
      </c>
      <c r="J72" s="66">
        <f>D72-F72</f>
        <v>37255.36</v>
      </c>
      <c r="K72" s="66">
        <f>E72-F72</f>
        <v>37255.36</v>
      </c>
    </row>
    <row r="73" spans="1:11" s="59" customFormat="1" ht="19.5" customHeight="1">
      <c r="A73" s="93" t="s">
        <v>279</v>
      </c>
      <c r="B73" s="73"/>
      <c r="C73" s="92" t="s">
        <v>540</v>
      </c>
      <c r="D73" s="90">
        <f>SUM(D74:D77)</f>
        <v>500</v>
      </c>
      <c r="E73" s="90">
        <f aca="true" t="shared" si="28" ref="E73:K73">SUM(E74:E77)</f>
        <v>500</v>
      </c>
      <c r="F73" s="90">
        <f>F75+F76+F77</f>
        <v>0</v>
      </c>
      <c r="G73" s="90">
        <f t="shared" si="28"/>
        <v>0</v>
      </c>
      <c r="H73" s="90">
        <f t="shared" si="28"/>
        <v>0</v>
      </c>
      <c r="I73" s="90">
        <f>SUM(I75:I77)</f>
        <v>0</v>
      </c>
      <c r="J73" s="90">
        <f t="shared" si="28"/>
        <v>500</v>
      </c>
      <c r="K73" s="90">
        <f t="shared" si="28"/>
        <v>500</v>
      </c>
    </row>
    <row r="74" spans="1:11" s="59" customFormat="1" ht="16.5" customHeight="1" hidden="1">
      <c r="A74" s="60" t="s">
        <v>222</v>
      </c>
      <c r="B74" s="111" t="s">
        <v>53</v>
      </c>
      <c r="C74" s="135" t="s">
        <v>280</v>
      </c>
      <c r="D74" s="63">
        <v>0</v>
      </c>
      <c r="E74" s="63">
        <f>D74</f>
        <v>0</v>
      </c>
      <c r="F74" s="63">
        <v>0</v>
      </c>
      <c r="G74" s="63"/>
      <c r="H74" s="63"/>
      <c r="I74" s="63">
        <f>SUM(F74:H74)</f>
        <v>0</v>
      </c>
      <c r="J74" s="63">
        <f>D74-F74</f>
        <v>0</v>
      </c>
      <c r="K74" s="63">
        <f>E74-F74</f>
        <v>0</v>
      </c>
    </row>
    <row r="75" spans="1:11" s="21" customFormat="1" ht="16.5" customHeight="1">
      <c r="A75" s="60" t="s">
        <v>61</v>
      </c>
      <c r="B75" s="61" t="s">
        <v>53</v>
      </c>
      <c r="C75" s="142" t="s">
        <v>515</v>
      </c>
      <c r="D75" s="63">
        <v>500</v>
      </c>
      <c r="E75" s="63">
        <f>D75</f>
        <v>500</v>
      </c>
      <c r="F75" s="63">
        <v>0</v>
      </c>
      <c r="G75" s="63">
        <v>0</v>
      </c>
      <c r="H75" s="63">
        <v>0</v>
      </c>
      <c r="I75" s="63">
        <f>SUM(F75:H75)</f>
        <v>0</v>
      </c>
      <c r="J75" s="63">
        <f>D75-F75</f>
        <v>500</v>
      </c>
      <c r="K75" s="63">
        <f>E75-F75</f>
        <v>500</v>
      </c>
    </row>
    <row r="76" spans="1:11" s="21" customFormat="1" ht="16.5" customHeight="1" hidden="1">
      <c r="A76" s="60" t="s">
        <v>240</v>
      </c>
      <c r="B76" s="61" t="s">
        <v>53</v>
      </c>
      <c r="C76" s="142" t="s">
        <v>366</v>
      </c>
      <c r="D76" s="63">
        <v>0</v>
      </c>
      <c r="E76" s="63">
        <f>D76</f>
        <v>0</v>
      </c>
      <c r="F76" s="63">
        <v>0</v>
      </c>
      <c r="G76" s="63">
        <v>0</v>
      </c>
      <c r="H76" s="63">
        <v>0</v>
      </c>
      <c r="I76" s="63">
        <f aca="true" t="shared" si="29" ref="I76:I104">SUM(F76:H76)</f>
        <v>0</v>
      </c>
      <c r="J76" s="63">
        <f>D76-F76</f>
        <v>0</v>
      </c>
      <c r="K76" s="63">
        <f>E76-F76</f>
        <v>0</v>
      </c>
    </row>
    <row r="77" spans="1:11" s="21" customFormat="1" ht="30" customHeight="1" hidden="1">
      <c r="A77" s="60" t="s">
        <v>63</v>
      </c>
      <c r="B77" s="61" t="s">
        <v>53</v>
      </c>
      <c r="C77" s="62" t="s">
        <v>367</v>
      </c>
      <c r="D77" s="63">
        <v>0</v>
      </c>
      <c r="E77" s="63">
        <f>D77</f>
        <v>0</v>
      </c>
      <c r="F77" s="63">
        <v>0</v>
      </c>
      <c r="G77" s="63">
        <v>0</v>
      </c>
      <c r="H77" s="63">
        <v>0</v>
      </c>
      <c r="I77" s="63">
        <f t="shared" si="29"/>
        <v>0</v>
      </c>
      <c r="J77" s="63">
        <f>D77-F77</f>
        <v>0</v>
      </c>
      <c r="K77" s="63">
        <f>E77-F77</f>
        <v>0</v>
      </c>
    </row>
    <row r="78" spans="1:11" s="21" customFormat="1" ht="17.25" customHeight="1">
      <c r="A78" s="87" t="s">
        <v>120</v>
      </c>
      <c r="B78" s="64"/>
      <c r="C78" s="65" t="s">
        <v>103</v>
      </c>
      <c r="D78" s="66">
        <f>D73</f>
        <v>500</v>
      </c>
      <c r="E78" s="66">
        <f aca="true" t="shared" si="30" ref="E78:K78">E73</f>
        <v>500</v>
      </c>
      <c r="F78" s="66">
        <f>F73</f>
        <v>0</v>
      </c>
      <c r="G78" s="66">
        <f t="shared" si="30"/>
        <v>0</v>
      </c>
      <c r="H78" s="66">
        <f t="shared" si="30"/>
        <v>0</v>
      </c>
      <c r="I78" s="63">
        <f t="shared" si="29"/>
        <v>0</v>
      </c>
      <c r="J78" s="66">
        <f t="shared" si="30"/>
        <v>500</v>
      </c>
      <c r="K78" s="66">
        <f t="shared" si="30"/>
        <v>500</v>
      </c>
    </row>
    <row r="79" spans="1:11" s="59" customFormat="1" ht="0.75" customHeight="1" hidden="1">
      <c r="A79" s="93" t="s">
        <v>233</v>
      </c>
      <c r="B79" s="114"/>
      <c r="C79" s="92" t="s">
        <v>234</v>
      </c>
      <c r="D79" s="90">
        <f>SUM(D80:D80)</f>
        <v>0</v>
      </c>
      <c r="E79" s="90">
        <f aca="true" t="shared" si="31" ref="E79:K79">SUM(E80:E80)</f>
        <v>0</v>
      </c>
      <c r="F79" s="90">
        <f t="shared" si="31"/>
        <v>0</v>
      </c>
      <c r="G79" s="90">
        <f t="shared" si="31"/>
        <v>0</v>
      </c>
      <c r="H79" s="90">
        <f t="shared" si="31"/>
        <v>0</v>
      </c>
      <c r="I79" s="63">
        <f t="shared" si="29"/>
        <v>0</v>
      </c>
      <c r="J79" s="90">
        <f t="shared" si="31"/>
        <v>0</v>
      </c>
      <c r="K79" s="90">
        <f t="shared" si="31"/>
        <v>0</v>
      </c>
    </row>
    <row r="80" spans="1:11" s="21" customFormat="1" ht="66" customHeight="1" hidden="1">
      <c r="A80" s="60" t="s">
        <v>237</v>
      </c>
      <c r="B80" s="61" t="s">
        <v>53</v>
      </c>
      <c r="C80" s="62" t="s">
        <v>235</v>
      </c>
      <c r="D80" s="63">
        <v>0</v>
      </c>
      <c r="E80" s="63">
        <f>D80</f>
        <v>0</v>
      </c>
      <c r="F80" s="63">
        <v>0</v>
      </c>
      <c r="G80" s="63">
        <v>0</v>
      </c>
      <c r="H80" s="63">
        <v>0</v>
      </c>
      <c r="I80" s="63">
        <f t="shared" si="29"/>
        <v>0</v>
      </c>
      <c r="J80" s="63">
        <f>D80-F80</f>
        <v>0</v>
      </c>
      <c r="K80" s="63">
        <f>E80-F80</f>
        <v>0</v>
      </c>
    </row>
    <row r="81" spans="1:11" s="59" customFormat="1" ht="9.75" customHeight="1" hidden="1">
      <c r="A81" s="93" t="s">
        <v>236</v>
      </c>
      <c r="B81" s="73"/>
      <c r="C81" s="92" t="s">
        <v>137</v>
      </c>
      <c r="D81" s="90">
        <f aca="true" t="shared" si="32" ref="D81:K81">SUM(D82:D82)</f>
        <v>0</v>
      </c>
      <c r="E81" s="90">
        <f t="shared" si="32"/>
        <v>0</v>
      </c>
      <c r="F81" s="90">
        <f t="shared" si="32"/>
        <v>0</v>
      </c>
      <c r="G81" s="90">
        <f t="shared" si="32"/>
        <v>0</v>
      </c>
      <c r="H81" s="90">
        <f t="shared" si="32"/>
        <v>0</v>
      </c>
      <c r="I81" s="63">
        <f t="shared" si="29"/>
        <v>0</v>
      </c>
      <c r="J81" s="90">
        <f t="shared" si="32"/>
        <v>0</v>
      </c>
      <c r="K81" s="90">
        <f t="shared" si="32"/>
        <v>0</v>
      </c>
    </row>
    <row r="82" spans="1:11" s="21" customFormat="1" ht="16.5" customHeight="1" hidden="1">
      <c r="A82" s="60" t="s">
        <v>237</v>
      </c>
      <c r="B82" s="61" t="s">
        <v>53</v>
      </c>
      <c r="C82" s="62" t="s">
        <v>152</v>
      </c>
      <c r="D82" s="63">
        <f>400-400</f>
        <v>0</v>
      </c>
      <c r="E82" s="63">
        <f>D82</f>
        <v>0</v>
      </c>
      <c r="F82" s="63">
        <v>0</v>
      </c>
      <c r="G82" s="63">
        <v>0</v>
      </c>
      <c r="H82" s="63">
        <v>0</v>
      </c>
      <c r="I82" s="63">
        <f t="shared" si="29"/>
        <v>0</v>
      </c>
      <c r="J82" s="63">
        <f>D82-F82</f>
        <v>0</v>
      </c>
      <c r="K82" s="63">
        <f>E82-F82</f>
        <v>0</v>
      </c>
    </row>
    <row r="83" spans="1:11" s="21" customFormat="1" ht="15" customHeight="1" hidden="1">
      <c r="A83" s="87">
        <v>6</v>
      </c>
      <c r="B83" s="64"/>
      <c r="C83" s="65" t="s">
        <v>108</v>
      </c>
      <c r="D83" s="66">
        <f>D79+D81</f>
        <v>0</v>
      </c>
      <c r="E83" s="66">
        <f aca="true" t="shared" si="33" ref="E83:K83">E79+E81</f>
        <v>0</v>
      </c>
      <c r="F83" s="66">
        <f t="shared" si="33"/>
        <v>0</v>
      </c>
      <c r="G83" s="66">
        <f t="shared" si="33"/>
        <v>0</v>
      </c>
      <c r="H83" s="66">
        <f t="shared" si="33"/>
        <v>0</v>
      </c>
      <c r="I83" s="63">
        <f t="shared" si="29"/>
        <v>0</v>
      </c>
      <c r="J83" s="66">
        <f t="shared" si="33"/>
        <v>0</v>
      </c>
      <c r="K83" s="66">
        <f t="shared" si="33"/>
        <v>0</v>
      </c>
    </row>
    <row r="84" spans="1:11" s="21" customFormat="1" ht="15" customHeight="1" hidden="1">
      <c r="A84" s="60" t="s">
        <v>238</v>
      </c>
      <c r="B84" s="61" t="s">
        <v>53</v>
      </c>
      <c r="C84" s="62" t="s">
        <v>110</v>
      </c>
      <c r="D84" s="63"/>
      <c r="E84" s="63">
        <f>D84</f>
        <v>0</v>
      </c>
      <c r="F84" s="63">
        <v>0</v>
      </c>
      <c r="G84" s="63">
        <v>0</v>
      </c>
      <c r="H84" s="63">
        <v>0</v>
      </c>
      <c r="I84" s="63">
        <f t="shared" si="29"/>
        <v>0</v>
      </c>
      <c r="J84" s="63">
        <f>D84-F84</f>
        <v>0</v>
      </c>
      <c r="K84" s="63">
        <f>E84-F84</f>
        <v>0</v>
      </c>
    </row>
    <row r="85" spans="1:11" s="21" customFormat="1" ht="13.5" customHeight="1" hidden="1">
      <c r="A85" s="60" t="s">
        <v>60</v>
      </c>
      <c r="B85" s="61" t="s">
        <v>53</v>
      </c>
      <c r="C85" s="62" t="s">
        <v>64</v>
      </c>
      <c r="D85" s="63"/>
      <c r="E85" s="63">
        <f>D85</f>
        <v>0</v>
      </c>
      <c r="F85" s="63">
        <v>0</v>
      </c>
      <c r="G85" s="63">
        <v>0</v>
      </c>
      <c r="H85" s="63">
        <v>0</v>
      </c>
      <c r="I85" s="63">
        <f t="shared" si="29"/>
        <v>0</v>
      </c>
      <c r="J85" s="63">
        <f>D85-F85</f>
        <v>0</v>
      </c>
      <c r="K85" s="63">
        <f>E85-F85</f>
        <v>0</v>
      </c>
    </row>
    <row r="86" spans="1:11" s="21" customFormat="1" ht="44.25" customHeight="1" hidden="1">
      <c r="A86" s="93" t="s">
        <v>180</v>
      </c>
      <c r="B86" s="73"/>
      <c r="C86" s="92" t="s">
        <v>170</v>
      </c>
      <c r="D86" s="90">
        <f aca="true" t="shared" si="34" ref="D86:K86">SUM(D87:D88)</f>
        <v>0</v>
      </c>
      <c r="E86" s="90">
        <f t="shared" si="34"/>
        <v>0</v>
      </c>
      <c r="F86" s="90">
        <f t="shared" si="34"/>
        <v>0</v>
      </c>
      <c r="G86" s="90">
        <f t="shared" si="34"/>
        <v>0</v>
      </c>
      <c r="H86" s="90">
        <f t="shared" si="34"/>
        <v>0</v>
      </c>
      <c r="I86" s="63">
        <f t="shared" si="29"/>
        <v>0</v>
      </c>
      <c r="J86" s="90">
        <f t="shared" si="34"/>
        <v>0</v>
      </c>
      <c r="K86" s="90">
        <f t="shared" si="34"/>
        <v>0</v>
      </c>
    </row>
    <row r="87" spans="1:11" s="21" customFormat="1" ht="15" customHeight="1" hidden="1">
      <c r="A87" s="99" t="s">
        <v>173</v>
      </c>
      <c r="B87" s="61" t="s">
        <v>53</v>
      </c>
      <c r="C87" s="62" t="s">
        <v>171</v>
      </c>
      <c r="D87" s="63"/>
      <c r="E87" s="63">
        <f>D87</f>
        <v>0</v>
      </c>
      <c r="F87" s="63"/>
      <c r="G87" s="63">
        <v>0</v>
      </c>
      <c r="H87" s="63">
        <v>0</v>
      </c>
      <c r="I87" s="63">
        <f t="shared" si="29"/>
        <v>0</v>
      </c>
      <c r="J87" s="63">
        <f>D87-F87</f>
        <v>0</v>
      </c>
      <c r="K87" s="63">
        <f>E87-F87</f>
        <v>0</v>
      </c>
    </row>
    <row r="88" spans="1:11" s="21" customFormat="1" ht="15" customHeight="1" hidden="1">
      <c r="A88" s="98" t="s">
        <v>56</v>
      </c>
      <c r="B88" s="61" t="s">
        <v>53</v>
      </c>
      <c r="C88" s="62" t="s">
        <v>172</v>
      </c>
      <c r="D88" s="63"/>
      <c r="E88" s="63">
        <f>D88</f>
        <v>0</v>
      </c>
      <c r="F88" s="63"/>
      <c r="G88" s="63">
        <v>0</v>
      </c>
      <c r="H88" s="63">
        <v>0</v>
      </c>
      <c r="I88" s="63">
        <f t="shared" si="29"/>
        <v>0</v>
      </c>
      <c r="J88" s="63">
        <f>D88-F88</f>
        <v>0</v>
      </c>
      <c r="K88" s="63">
        <f>E88-F88</f>
        <v>0</v>
      </c>
    </row>
    <row r="89" spans="1:11" s="21" customFormat="1" ht="27" customHeight="1" hidden="1">
      <c r="A89" s="87" t="s">
        <v>174</v>
      </c>
      <c r="B89" s="61"/>
      <c r="C89" s="65" t="s">
        <v>175</v>
      </c>
      <c r="D89" s="66">
        <f aca="true" t="shared" si="35" ref="D89:K89">D87+D88</f>
        <v>0</v>
      </c>
      <c r="E89" s="66">
        <f t="shared" si="35"/>
        <v>0</v>
      </c>
      <c r="F89" s="66">
        <f t="shared" si="35"/>
        <v>0</v>
      </c>
      <c r="G89" s="66">
        <f t="shared" si="35"/>
        <v>0</v>
      </c>
      <c r="H89" s="66">
        <f t="shared" si="35"/>
        <v>0</v>
      </c>
      <c r="I89" s="63">
        <f t="shared" si="29"/>
        <v>0</v>
      </c>
      <c r="J89" s="66">
        <f t="shared" si="35"/>
        <v>0</v>
      </c>
      <c r="K89" s="66">
        <f t="shared" si="35"/>
        <v>0</v>
      </c>
    </row>
    <row r="90" spans="1:11" s="21" customFormat="1" ht="0.75" customHeight="1" hidden="1">
      <c r="A90" s="87" t="s">
        <v>186</v>
      </c>
      <c r="B90" s="61"/>
      <c r="C90" s="65" t="s">
        <v>184</v>
      </c>
      <c r="D90" s="90">
        <f aca="true" t="shared" si="36" ref="D90:K90">SUM(D91:D105)</f>
        <v>1708356.18</v>
      </c>
      <c r="E90" s="90">
        <f t="shared" si="36"/>
        <v>1708356.18</v>
      </c>
      <c r="F90" s="90">
        <f t="shared" si="36"/>
        <v>268213.31</v>
      </c>
      <c r="G90" s="90">
        <f t="shared" si="36"/>
        <v>0</v>
      </c>
      <c r="H90" s="90">
        <f t="shared" si="36"/>
        <v>0</v>
      </c>
      <c r="I90" s="63">
        <f t="shared" si="29"/>
        <v>268213.31</v>
      </c>
      <c r="J90" s="90">
        <f t="shared" si="36"/>
        <v>1440142.8699999999</v>
      </c>
      <c r="K90" s="90">
        <f t="shared" si="36"/>
        <v>1440142.8699999999</v>
      </c>
    </row>
    <row r="91" spans="1:11" s="21" customFormat="1" ht="6" customHeight="1" hidden="1">
      <c r="A91" s="60" t="s">
        <v>61</v>
      </c>
      <c r="B91" s="61" t="s">
        <v>53</v>
      </c>
      <c r="C91" s="62" t="s">
        <v>187</v>
      </c>
      <c r="D91" s="63">
        <v>0</v>
      </c>
      <c r="E91" s="63">
        <f aca="true" t="shared" si="37" ref="E91:E101">D91</f>
        <v>0</v>
      </c>
      <c r="F91" s="63">
        <v>0</v>
      </c>
      <c r="G91" s="63">
        <v>0</v>
      </c>
      <c r="H91" s="63">
        <v>0</v>
      </c>
      <c r="I91" s="63">
        <f t="shared" si="29"/>
        <v>0</v>
      </c>
      <c r="J91" s="63">
        <f>D91-F91</f>
        <v>0</v>
      </c>
      <c r="K91" s="63">
        <f>E91-F91</f>
        <v>0</v>
      </c>
    </row>
    <row r="92" spans="1:11" s="21" customFormat="1" ht="50.25" customHeight="1">
      <c r="A92" s="139" t="s">
        <v>343</v>
      </c>
      <c r="B92" s="61"/>
      <c r="C92" s="89" t="s">
        <v>342</v>
      </c>
      <c r="D92" s="107">
        <f>D78</f>
        <v>500</v>
      </c>
      <c r="E92" s="107">
        <f>D92</f>
        <v>500</v>
      </c>
      <c r="F92" s="107">
        <f>F78</f>
        <v>0</v>
      </c>
      <c r="G92" s="107">
        <f>G78</f>
        <v>0</v>
      </c>
      <c r="H92" s="107">
        <f>H78</f>
        <v>0</v>
      </c>
      <c r="I92" s="63">
        <f t="shared" si="29"/>
        <v>0</v>
      </c>
      <c r="J92" s="107">
        <f>D92-F92</f>
        <v>500</v>
      </c>
      <c r="K92" s="107">
        <f>E92-F92</f>
        <v>500</v>
      </c>
    </row>
    <row r="93" spans="1:11" s="21" customFormat="1" ht="58.5" customHeight="1" hidden="1">
      <c r="A93" s="138" t="s">
        <v>328</v>
      </c>
      <c r="B93" s="61"/>
      <c r="C93" s="106" t="s">
        <v>327</v>
      </c>
      <c r="D93" s="90">
        <f>D94</f>
        <v>0</v>
      </c>
      <c r="E93" s="90">
        <f t="shared" si="37"/>
        <v>0</v>
      </c>
      <c r="F93" s="107">
        <f aca="true" t="shared" si="38" ref="F93:K93">F94</f>
        <v>0</v>
      </c>
      <c r="G93" s="107">
        <f t="shared" si="38"/>
        <v>0</v>
      </c>
      <c r="H93" s="107">
        <f t="shared" si="38"/>
        <v>0</v>
      </c>
      <c r="I93" s="63">
        <f t="shared" si="29"/>
        <v>0</v>
      </c>
      <c r="J93" s="107">
        <f t="shared" si="38"/>
        <v>0</v>
      </c>
      <c r="K93" s="107">
        <f t="shared" si="38"/>
        <v>0</v>
      </c>
    </row>
    <row r="94" spans="1:11" s="21" customFormat="1" ht="21" customHeight="1" hidden="1">
      <c r="A94" s="99" t="s">
        <v>240</v>
      </c>
      <c r="B94" s="61" t="s">
        <v>53</v>
      </c>
      <c r="C94" s="62" t="s">
        <v>329</v>
      </c>
      <c r="D94" s="63">
        <v>0</v>
      </c>
      <c r="E94" s="63">
        <f t="shared" si="37"/>
        <v>0</v>
      </c>
      <c r="F94" s="63">
        <v>0</v>
      </c>
      <c r="G94" s="63">
        <v>0</v>
      </c>
      <c r="H94" s="63">
        <v>0</v>
      </c>
      <c r="I94" s="63">
        <f t="shared" si="29"/>
        <v>0</v>
      </c>
      <c r="J94" s="63">
        <f>D94-F94</f>
        <v>0</v>
      </c>
      <c r="K94" s="63">
        <f>E94-F94</f>
        <v>0</v>
      </c>
    </row>
    <row r="95" spans="1:11" s="21" customFormat="1" ht="88.5" customHeight="1" hidden="1">
      <c r="A95" s="138" t="s">
        <v>330</v>
      </c>
      <c r="B95" s="61"/>
      <c r="C95" s="106" t="s">
        <v>331</v>
      </c>
      <c r="D95" s="90">
        <f>D96</f>
        <v>0</v>
      </c>
      <c r="E95" s="90">
        <f t="shared" si="37"/>
        <v>0</v>
      </c>
      <c r="F95" s="107">
        <f aca="true" t="shared" si="39" ref="F95:K95">F96</f>
        <v>0</v>
      </c>
      <c r="G95" s="107">
        <f t="shared" si="39"/>
        <v>0</v>
      </c>
      <c r="H95" s="107">
        <f t="shared" si="39"/>
        <v>0</v>
      </c>
      <c r="I95" s="63">
        <f t="shared" si="29"/>
        <v>0</v>
      </c>
      <c r="J95" s="107">
        <f t="shared" si="39"/>
        <v>0</v>
      </c>
      <c r="K95" s="107">
        <f t="shared" si="39"/>
        <v>0</v>
      </c>
    </row>
    <row r="96" spans="1:11" s="21" customFormat="1" ht="26.25" customHeight="1" hidden="1">
      <c r="A96" s="99" t="s">
        <v>240</v>
      </c>
      <c r="B96" s="61" t="s">
        <v>53</v>
      </c>
      <c r="C96" s="62" t="s">
        <v>332</v>
      </c>
      <c r="D96" s="63">
        <v>0</v>
      </c>
      <c r="E96" s="63">
        <f t="shared" si="37"/>
        <v>0</v>
      </c>
      <c r="F96" s="63">
        <v>0</v>
      </c>
      <c r="G96" s="63">
        <v>0</v>
      </c>
      <c r="H96" s="63">
        <v>0</v>
      </c>
      <c r="I96" s="63">
        <f t="shared" si="29"/>
        <v>0</v>
      </c>
      <c r="J96" s="63">
        <f>D96-F96</f>
        <v>0</v>
      </c>
      <c r="K96" s="63">
        <f>E96-F96</f>
        <v>0</v>
      </c>
    </row>
    <row r="97" spans="1:11" s="21" customFormat="1" ht="35.25" customHeight="1" hidden="1">
      <c r="A97" s="138" t="s">
        <v>336</v>
      </c>
      <c r="B97" s="61"/>
      <c r="C97" s="106" t="s">
        <v>335</v>
      </c>
      <c r="D97" s="107">
        <f>D99+D98</f>
        <v>0</v>
      </c>
      <c r="E97" s="107">
        <f>E99+E98</f>
        <v>0</v>
      </c>
      <c r="F97" s="107">
        <f>F99+F98</f>
        <v>0</v>
      </c>
      <c r="G97" s="107">
        <f>G99+G98</f>
        <v>0</v>
      </c>
      <c r="H97" s="107">
        <f>H99+H98</f>
        <v>0</v>
      </c>
      <c r="I97" s="63">
        <f t="shared" si="29"/>
        <v>0</v>
      </c>
      <c r="J97" s="107">
        <f>J99</f>
        <v>0</v>
      </c>
      <c r="K97" s="107">
        <f>K99</f>
        <v>0</v>
      </c>
    </row>
    <row r="98" spans="1:11" s="21" customFormat="1" ht="35.25" customHeight="1" hidden="1">
      <c r="A98" s="60" t="s">
        <v>61</v>
      </c>
      <c r="B98" s="61"/>
      <c r="C98" s="62" t="s">
        <v>337</v>
      </c>
      <c r="D98" s="63">
        <v>0</v>
      </c>
      <c r="E98" s="63">
        <f>D98</f>
        <v>0</v>
      </c>
      <c r="F98" s="63">
        <v>0</v>
      </c>
      <c r="G98" s="63">
        <v>0</v>
      </c>
      <c r="H98" s="63">
        <v>0</v>
      </c>
      <c r="I98" s="63">
        <f t="shared" si="29"/>
        <v>0</v>
      </c>
      <c r="J98" s="63">
        <f>D98-F98</f>
        <v>0</v>
      </c>
      <c r="K98" s="63">
        <f>E98-F98</f>
        <v>0</v>
      </c>
    </row>
    <row r="99" spans="1:11" s="21" customFormat="1" ht="18" customHeight="1" hidden="1">
      <c r="A99" s="60" t="s">
        <v>240</v>
      </c>
      <c r="B99" s="61"/>
      <c r="C99" s="62" t="s">
        <v>338</v>
      </c>
      <c r="D99" s="63">
        <v>0</v>
      </c>
      <c r="E99" s="63">
        <f>D99</f>
        <v>0</v>
      </c>
      <c r="F99" s="63">
        <v>0</v>
      </c>
      <c r="G99" s="63">
        <v>0</v>
      </c>
      <c r="H99" s="63">
        <v>0</v>
      </c>
      <c r="I99" s="63">
        <f t="shared" si="29"/>
        <v>0</v>
      </c>
      <c r="J99" s="63">
        <f>D99-F99</f>
        <v>0</v>
      </c>
      <c r="K99" s="63">
        <f>E99-F99</f>
        <v>0</v>
      </c>
    </row>
    <row r="100" spans="1:11" s="21" customFormat="1" ht="33" customHeight="1" hidden="1">
      <c r="A100" s="99"/>
      <c r="B100" s="61"/>
      <c r="C100" s="62"/>
      <c r="D100" s="63"/>
      <c r="E100" s="63"/>
      <c r="F100" s="63"/>
      <c r="G100" s="63"/>
      <c r="H100" s="63"/>
      <c r="I100" s="63">
        <f t="shared" si="29"/>
        <v>0</v>
      </c>
      <c r="J100" s="63"/>
      <c r="K100" s="63"/>
    </row>
    <row r="101" spans="1:11" s="21" customFormat="1" ht="20.25" customHeight="1" hidden="1">
      <c r="A101" s="118" t="s">
        <v>333</v>
      </c>
      <c r="B101" s="61"/>
      <c r="C101" s="65" t="s">
        <v>334</v>
      </c>
      <c r="D101" s="66">
        <f>D94+D96+D97</f>
        <v>0</v>
      </c>
      <c r="E101" s="66">
        <f t="shared" si="37"/>
        <v>0</v>
      </c>
      <c r="F101" s="66">
        <f>F93+F95+F97</f>
        <v>0</v>
      </c>
      <c r="G101" s="66">
        <f>G93+G95+G97</f>
        <v>0</v>
      </c>
      <c r="H101" s="66">
        <f>H93+H95+H97</f>
        <v>0</v>
      </c>
      <c r="I101" s="63">
        <f t="shared" si="29"/>
        <v>0</v>
      </c>
      <c r="J101" s="66">
        <f>J93+J95+J97</f>
        <v>0</v>
      </c>
      <c r="K101" s="66">
        <f>J101</f>
        <v>0</v>
      </c>
    </row>
    <row r="102" spans="1:11" s="21" customFormat="1" ht="20.25" customHeight="1">
      <c r="A102" s="230" t="s">
        <v>470</v>
      </c>
      <c r="B102" s="61"/>
      <c r="C102" s="89" t="s">
        <v>460</v>
      </c>
      <c r="D102" s="66">
        <f>D103</f>
        <v>0</v>
      </c>
      <c r="E102" s="66">
        <f>E103</f>
        <v>0</v>
      </c>
      <c r="F102" s="66">
        <f aca="true" t="shared" si="40" ref="F102:K102">F103</f>
        <v>0</v>
      </c>
      <c r="G102" s="66">
        <f t="shared" si="40"/>
        <v>0</v>
      </c>
      <c r="H102" s="66">
        <f t="shared" si="40"/>
        <v>0</v>
      </c>
      <c r="I102" s="66">
        <f t="shared" si="40"/>
        <v>0</v>
      </c>
      <c r="J102" s="66">
        <f t="shared" si="40"/>
        <v>0</v>
      </c>
      <c r="K102" s="66">
        <f t="shared" si="40"/>
        <v>0</v>
      </c>
    </row>
    <row r="103" spans="1:11" s="21" customFormat="1" ht="36.75" customHeight="1">
      <c r="A103" s="229" t="s">
        <v>491</v>
      </c>
      <c r="B103" s="61"/>
      <c r="C103" s="92" t="s">
        <v>539</v>
      </c>
      <c r="D103" s="66">
        <f>D104</f>
        <v>0</v>
      </c>
      <c r="E103" s="66">
        <f aca="true" t="shared" si="41" ref="E103:K104">E104</f>
        <v>0</v>
      </c>
      <c r="F103" s="66">
        <f t="shared" si="41"/>
        <v>0</v>
      </c>
      <c r="G103" s="66">
        <f t="shared" si="41"/>
        <v>0</v>
      </c>
      <c r="H103" s="66">
        <f t="shared" si="41"/>
        <v>0</v>
      </c>
      <c r="I103" s="66">
        <f t="shared" si="41"/>
        <v>0</v>
      </c>
      <c r="J103" s="66">
        <f t="shared" si="41"/>
        <v>0</v>
      </c>
      <c r="K103" s="66">
        <f t="shared" si="41"/>
        <v>0</v>
      </c>
    </row>
    <row r="104" spans="1:11" s="21" customFormat="1" ht="36.75" customHeight="1">
      <c r="A104" s="60" t="s">
        <v>61</v>
      </c>
      <c r="B104" s="61" t="s">
        <v>53</v>
      </c>
      <c r="C104" s="142" t="s">
        <v>516</v>
      </c>
      <c r="D104" s="117">
        <v>0</v>
      </c>
      <c r="E104" s="117">
        <f>D104</f>
        <v>0</v>
      </c>
      <c r="F104" s="117">
        <v>0</v>
      </c>
      <c r="G104" s="117">
        <f t="shared" si="41"/>
        <v>0</v>
      </c>
      <c r="H104" s="117">
        <f t="shared" si="41"/>
        <v>0</v>
      </c>
      <c r="I104" s="63">
        <f t="shared" si="29"/>
        <v>0</v>
      </c>
      <c r="J104" s="117">
        <f>D104-F104</f>
        <v>0</v>
      </c>
      <c r="K104" s="117">
        <f>E104-F104</f>
        <v>0</v>
      </c>
    </row>
    <row r="105" spans="1:11" s="21" customFormat="1" ht="222.75" customHeight="1">
      <c r="A105" s="123" t="s">
        <v>319</v>
      </c>
      <c r="B105" s="61"/>
      <c r="C105" s="92" t="s">
        <v>538</v>
      </c>
      <c r="D105" s="66">
        <f>SUM(D106:D108)</f>
        <v>1707856.18</v>
      </c>
      <c r="E105" s="66">
        <f aca="true" t="shared" si="42" ref="E105:K105">SUM(E106:E108)</f>
        <v>1707856.18</v>
      </c>
      <c r="F105" s="66">
        <f>SUM(F106:F108)</f>
        <v>268213.31</v>
      </c>
      <c r="G105" s="66">
        <f t="shared" si="42"/>
        <v>0</v>
      </c>
      <c r="H105" s="66">
        <f t="shared" si="42"/>
        <v>0</v>
      </c>
      <c r="I105" s="66">
        <f t="shared" si="42"/>
        <v>268213.31</v>
      </c>
      <c r="J105" s="66">
        <f t="shared" si="42"/>
        <v>1439642.8699999999</v>
      </c>
      <c r="K105" s="66">
        <f t="shared" si="42"/>
        <v>1439642.8699999999</v>
      </c>
    </row>
    <row r="106" spans="1:11" s="21" customFormat="1" ht="20.25" customHeight="1">
      <c r="A106" s="98" t="s">
        <v>60</v>
      </c>
      <c r="B106" s="61" t="s">
        <v>53</v>
      </c>
      <c r="C106" s="62" t="s">
        <v>517</v>
      </c>
      <c r="D106" s="63">
        <f>1402503.23+303352.95-2230</f>
        <v>1703626.18</v>
      </c>
      <c r="E106" s="63">
        <f>D106</f>
        <v>1703626.18</v>
      </c>
      <c r="F106" s="63">
        <f>37933.43+194540.12+15580.18+20159.58-2230</f>
        <v>265983.31</v>
      </c>
      <c r="G106" s="63">
        <v>0</v>
      </c>
      <c r="H106" s="63">
        <v>0</v>
      </c>
      <c r="I106" s="63">
        <f>SUM(F106:H106)</f>
        <v>265983.31</v>
      </c>
      <c r="J106" s="63">
        <f>D106-F106</f>
        <v>1437642.8699999999</v>
      </c>
      <c r="K106" s="63">
        <f>E106-F106</f>
        <v>1437642.8699999999</v>
      </c>
    </row>
    <row r="107" spans="1:11" s="21" customFormat="1" ht="18.75" customHeight="1">
      <c r="A107" s="60" t="s">
        <v>61</v>
      </c>
      <c r="B107" s="61" t="s">
        <v>53</v>
      </c>
      <c r="C107" s="62" t="s">
        <v>518</v>
      </c>
      <c r="D107" s="63">
        <v>2000</v>
      </c>
      <c r="E107" s="63">
        <f>D107</f>
        <v>2000</v>
      </c>
      <c r="F107" s="63">
        <v>0</v>
      </c>
      <c r="G107" s="63">
        <v>0</v>
      </c>
      <c r="H107" s="63">
        <v>0</v>
      </c>
      <c r="I107" s="63">
        <f>SUM(F107:H107)</f>
        <v>0</v>
      </c>
      <c r="J107" s="63">
        <f>D107-F107</f>
        <v>2000</v>
      </c>
      <c r="K107" s="63">
        <f>E107-F107</f>
        <v>2000</v>
      </c>
    </row>
    <row r="108" spans="1:11" s="21" customFormat="1" ht="30.75" customHeight="1">
      <c r="A108" s="60" t="s">
        <v>63</v>
      </c>
      <c r="B108" s="61" t="s">
        <v>53</v>
      </c>
      <c r="C108" s="62" t="s">
        <v>555</v>
      </c>
      <c r="D108" s="63">
        <v>2230</v>
      </c>
      <c r="E108" s="63">
        <v>2230</v>
      </c>
      <c r="F108" s="63">
        <v>2230</v>
      </c>
      <c r="G108" s="63">
        <v>0</v>
      </c>
      <c r="H108" s="63">
        <v>0</v>
      </c>
      <c r="I108" s="63">
        <f>SUM(F108:H108)</f>
        <v>2230</v>
      </c>
      <c r="J108" s="63">
        <f>D108-F108</f>
        <v>0</v>
      </c>
      <c r="K108" s="63">
        <f>E108-F108</f>
        <v>0</v>
      </c>
    </row>
    <row r="109" spans="1:11" s="21" customFormat="1" ht="27.75" customHeight="1">
      <c r="A109" s="130" t="s">
        <v>320</v>
      </c>
      <c r="B109" s="61"/>
      <c r="C109" s="65" t="s">
        <v>321</v>
      </c>
      <c r="D109" s="66">
        <f>D106+D107+D108</f>
        <v>1707856.18</v>
      </c>
      <c r="E109" s="66">
        <f>E106+E107+E108</f>
        <v>1707856.18</v>
      </c>
      <c r="F109" s="66">
        <f>F105</f>
        <v>268213.31</v>
      </c>
      <c r="G109" s="66">
        <f>G106+G107</f>
        <v>0</v>
      </c>
      <c r="H109" s="66">
        <f>H106+H107</f>
        <v>0</v>
      </c>
      <c r="I109" s="66">
        <f>I106+I107</f>
        <v>265983.31</v>
      </c>
      <c r="J109" s="66">
        <f>J105</f>
        <v>1439642.8699999999</v>
      </c>
      <c r="K109" s="66">
        <f>K105</f>
        <v>1439642.8699999999</v>
      </c>
    </row>
    <row r="110" spans="1:11" s="21" customFormat="1" ht="39" customHeight="1">
      <c r="A110" s="78" t="s">
        <v>356</v>
      </c>
      <c r="B110" s="61"/>
      <c r="C110" s="89" t="s">
        <v>185</v>
      </c>
      <c r="D110" s="66">
        <f aca="true" t="shared" si="43" ref="D110:K110">D109+D102</f>
        <v>1707856.18</v>
      </c>
      <c r="E110" s="66">
        <f t="shared" si="43"/>
        <v>1707856.18</v>
      </c>
      <c r="F110" s="66">
        <f t="shared" si="43"/>
        <v>268213.31</v>
      </c>
      <c r="G110" s="66">
        <f t="shared" si="43"/>
        <v>0</v>
      </c>
      <c r="H110" s="66">
        <f t="shared" si="43"/>
        <v>0</v>
      </c>
      <c r="I110" s="66">
        <f t="shared" si="43"/>
        <v>265983.31</v>
      </c>
      <c r="J110" s="66">
        <f t="shared" si="43"/>
        <v>1439642.8699999999</v>
      </c>
      <c r="K110" s="66">
        <f t="shared" si="43"/>
        <v>1439642.8699999999</v>
      </c>
    </row>
    <row r="111" spans="1:11" s="59" customFormat="1" ht="0.75" customHeight="1">
      <c r="A111" s="93" t="s">
        <v>228</v>
      </c>
      <c r="B111" s="73"/>
      <c r="C111" s="92" t="s">
        <v>229</v>
      </c>
      <c r="D111" s="90">
        <f aca="true" t="shared" si="44" ref="D111:K111">SUM(D112:D114)</f>
        <v>0</v>
      </c>
      <c r="E111" s="90">
        <f t="shared" si="44"/>
        <v>0</v>
      </c>
      <c r="F111" s="90">
        <f t="shared" si="44"/>
        <v>0</v>
      </c>
      <c r="G111" s="90">
        <f t="shared" si="44"/>
        <v>0</v>
      </c>
      <c r="H111" s="90">
        <f t="shared" si="44"/>
        <v>0</v>
      </c>
      <c r="I111" s="90">
        <f t="shared" si="44"/>
        <v>0</v>
      </c>
      <c r="J111" s="90">
        <f t="shared" si="44"/>
        <v>0</v>
      </c>
      <c r="K111" s="90">
        <f t="shared" si="44"/>
        <v>0</v>
      </c>
    </row>
    <row r="112" spans="1:11" s="59" customFormat="1" ht="18" customHeight="1" hidden="1">
      <c r="A112" s="60" t="s">
        <v>225</v>
      </c>
      <c r="B112" s="61" t="s">
        <v>53</v>
      </c>
      <c r="C112" s="62" t="s">
        <v>223</v>
      </c>
      <c r="D112" s="63"/>
      <c r="E112" s="63">
        <f aca="true" t="shared" si="45" ref="E112:E120">D112</f>
        <v>0</v>
      </c>
      <c r="F112" s="63">
        <v>0</v>
      </c>
      <c r="G112" s="63">
        <v>0</v>
      </c>
      <c r="H112" s="63">
        <v>0</v>
      </c>
      <c r="I112" s="63">
        <f>SUM(F112:H112)</f>
        <v>0</v>
      </c>
      <c r="J112" s="63">
        <f>D112-F112</f>
        <v>0</v>
      </c>
      <c r="K112" s="63">
        <f>E112-F112</f>
        <v>0</v>
      </c>
    </row>
    <row r="113" spans="1:11" s="21" customFormat="1" ht="15" customHeight="1" hidden="1">
      <c r="A113" s="60" t="s">
        <v>61</v>
      </c>
      <c r="B113" s="61" t="s">
        <v>53</v>
      </c>
      <c r="C113" s="62" t="s">
        <v>224</v>
      </c>
      <c r="D113" s="63">
        <v>0</v>
      </c>
      <c r="E113" s="63">
        <f t="shared" si="45"/>
        <v>0</v>
      </c>
      <c r="F113" s="63">
        <v>0</v>
      </c>
      <c r="G113" s="63">
        <v>0</v>
      </c>
      <c r="H113" s="63">
        <v>0</v>
      </c>
      <c r="I113" s="63">
        <f>SUM(F113:H113)</f>
        <v>0</v>
      </c>
      <c r="J113" s="63">
        <f>D113-F113</f>
        <v>0</v>
      </c>
      <c r="K113" s="63">
        <f>E113-F113</f>
        <v>0</v>
      </c>
    </row>
    <row r="114" spans="1:11" s="21" customFormat="1" ht="26.25" customHeight="1" hidden="1">
      <c r="A114" s="60" t="s">
        <v>181</v>
      </c>
      <c r="B114" s="61" t="s">
        <v>53</v>
      </c>
      <c r="C114" s="62" t="s">
        <v>226</v>
      </c>
      <c r="D114" s="63">
        <v>0</v>
      </c>
      <c r="E114" s="63">
        <f t="shared" si="45"/>
        <v>0</v>
      </c>
      <c r="F114" s="63"/>
      <c r="G114" s="63">
        <v>0</v>
      </c>
      <c r="H114" s="63">
        <v>0</v>
      </c>
      <c r="I114" s="63">
        <f>SUM(F114:H114)</f>
        <v>0</v>
      </c>
      <c r="J114" s="63">
        <f>D114-F114</f>
        <v>0</v>
      </c>
      <c r="K114" s="63">
        <f>E114-F114</f>
        <v>0</v>
      </c>
    </row>
    <row r="115" spans="1:11" s="21" customFormat="1" ht="27.75" customHeight="1" hidden="1">
      <c r="A115" s="60" t="s">
        <v>63</v>
      </c>
      <c r="B115" s="61" t="s">
        <v>53</v>
      </c>
      <c r="C115" s="62" t="s">
        <v>227</v>
      </c>
      <c r="D115" s="63"/>
      <c r="E115" s="63">
        <f t="shared" si="45"/>
        <v>0</v>
      </c>
      <c r="F115" s="63">
        <v>0</v>
      </c>
      <c r="G115" s="63">
        <v>0</v>
      </c>
      <c r="H115" s="63">
        <v>0</v>
      </c>
      <c r="I115" s="63">
        <f>SUM(F115:H115)</f>
        <v>0</v>
      </c>
      <c r="J115" s="63">
        <f>D115-F115</f>
        <v>0</v>
      </c>
      <c r="K115" s="63">
        <f>E115-F115</f>
        <v>0</v>
      </c>
    </row>
    <row r="116" spans="1:11" s="59" customFormat="1" ht="31.5" customHeight="1" hidden="1">
      <c r="A116" s="123" t="s">
        <v>282</v>
      </c>
      <c r="B116" s="73"/>
      <c r="C116" s="92" t="s">
        <v>281</v>
      </c>
      <c r="D116" s="90">
        <f>SUM(D117:D119)</f>
        <v>0</v>
      </c>
      <c r="E116" s="90">
        <f t="shared" si="45"/>
        <v>0</v>
      </c>
      <c r="F116" s="90">
        <f>SUM(F117:F119)</f>
        <v>0</v>
      </c>
      <c r="G116" s="90">
        <f>SUM(G117:G120)</f>
        <v>0</v>
      </c>
      <c r="H116" s="90">
        <f>SUM(H117:H120)</f>
        <v>0</v>
      </c>
      <c r="I116" s="90">
        <f>SUM(I117:I119)</f>
        <v>0</v>
      </c>
      <c r="J116" s="90">
        <f>SUM(J117:J119)</f>
        <v>0</v>
      </c>
      <c r="K116" s="90">
        <f>SUM(K117:K119)</f>
        <v>0</v>
      </c>
    </row>
    <row r="117" spans="1:11" s="59" customFormat="1" ht="18" customHeight="1" hidden="1">
      <c r="A117" s="98" t="s">
        <v>60</v>
      </c>
      <c r="B117" s="61" t="s">
        <v>53</v>
      </c>
      <c r="C117" s="62" t="s">
        <v>283</v>
      </c>
      <c r="D117" s="63">
        <v>0</v>
      </c>
      <c r="E117" s="63">
        <f t="shared" si="45"/>
        <v>0</v>
      </c>
      <c r="F117" s="63">
        <v>0</v>
      </c>
      <c r="G117" s="63">
        <v>0</v>
      </c>
      <c r="H117" s="63">
        <v>0</v>
      </c>
      <c r="I117" s="63">
        <f>SUM(F117:H117)</f>
        <v>0</v>
      </c>
      <c r="J117" s="63">
        <f>D117-F117</f>
        <v>0</v>
      </c>
      <c r="K117" s="63">
        <f>E117-F117</f>
        <v>0</v>
      </c>
    </row>
    <row r="118" spans="1:11" s="21" customFormat="1" ht="16.5" customHeight="1" hidden="1">
      <c r="A118" s="98" t="s">
        <v>61</v>
      </c>
      <c r="B118" s="61" t="s">
        <v>53</v>
      </c>
      <c r="C118" s="100" t="s">
        <v>153</v>
      </c>
      <c r="D118" s="63"/>
      <c r="E118" s="63">
        <f t="shared" si="45"/>
        <v>0</v>
      </c>
      <c r="F118" s="63"/>
      <c r="G118" s="63">
        <v>0</v>
      </c>
      <c r="H118" s="63">
        <v>0</v>
      </c>
      <c r="I118" s="63">
        <f>SUM(F118:H118)</f>
        <v>0</v>
      </c>
      <c r="J118" s="63">
        <f>D118-F118</f>
        <v>0</v>
      </c>
      <c r="K118" s="63">
        <f>E118-F118</f>
        <v>0</v>
      </c>
    </row>
    <row r="119" spans="1:11" s="21" customFormat="1" ht="30.75" customHeight="1" hidden="1">
      <c r="A119" s="98" t="s">
        <v>63</v>
      </c>
      <c r="B119" s="61" t="s">
        <v>53</v>
      </c>
      <c r="C119" s="62" t="s">
        <v>284</v>
      </c>
      <c r="D119" s="63">
        <v>0</v>
      </c>
      <c r="E119" s="63">
        <f t="shared" si="45"/>
        <v>0</v>
      </c>
      <c r="F119" s="63">
        <v>0</v>
      </c>
      <c r="G119" s="63">
        <v>0</v>
      </c>
      <c r="H119" s="63">
        <v>0</v>
      </c>
      <c r="I119" s="63">
        <f>SUM(F119:H119)</f>
        <v>0</v>
      </c>
      <c r="J119" s="63">
        <f>D119-F119</f>
        <v>0</v>
      </c>
      <c r="K119" s="63">
        <f>E119-F119</f>
        <v>0</v>
      </c>
    </row>
    <row r="120" spans="1:11" s="21" customFormat="1" ht="30.75" customHeight="1" hidden="1">
      <c r="A120" s="123" t="s">
        <v>294</v>
      </c>
      <c r="B120" s="73"/>
      <c r="C120" s="92" t="s">
        <v>295</v>
      </c>
      <c r="D120" s="90">
        <f>D121</f>
        <v>0</v>
      </c>
      <c r="E120" s="90">
        <f t="shared" si="45"/>
        <v>0</v>
      </c>
      <c r="F120" s="90">
        <f>F121</f>
        <v>0</v>
      </c>
      <c r="G120" s="90">
        <v>0</v>
      </c>
      <c r="H120" s="90">
        <v>0</v>
      </c>
      <c r="I120" s="90">
        <f>SUM(F120:H120)</f>
        <v>0</v>
      </c>
      <c r="J120" s="90">
        <f>D120-F120</f>
        <v>0</v>
      </c>
      <c r="K120" s="90">
        <f>E120-F120</f>
        <v>0</v>
      </c>
    </row>
    <row r="121" spans="1:11" s="21" customFormat="1" ht="15" customHeight="1" hidden="1">
      <c r="A121" s="98" t="s">
        <v>61</v>
      </c>
      <c r="B121" s="61" t="s">
        <v>53</v>
      </c>
      <c r="C121" s="62" t="s">
        <v>296</v>
      </c>
      <c r="D121" s="63">
        <v>0</v>
      </c>
      <c r="E121" s="63">
        <f>D121</f>
        <v>0</v>
      </c>
      <c r="F121" s="63">
        <v>0</v>
      </c>
      <c r="G121" s="63">
        <v>0</v>
      </c>
      <c r="H121" s="63">
        <v>0</v>
      </c>
      <c r="I121" s="63">
        <f>SUM(F121:H121)</f>
        <v>0</v>
      </c>
      <c r="J121" s="63">
        <f>D121-F121</f>
        <v>0</v>
      </c>
      <c r="K121" s="63">
        <f>E121-F121</f>
        <v>0</v>
      </c>
    </row>
    <row r="122" spans="1:11" s="21" customFormat="1" ht="18.75" customHeight="1" hidden="1">
      <c r="A122" s="118" t="s">
        <v>121</v>
      </c>
      <c r="B122" s="64"/>
      <c r="C122" s="65" t="s">
        <v>104</v>
      </c>
      <c r="D122" s="66">
        <f>SUM(D116+D120)</f>
        <v>0</v>
      </c>
      <c r="E122" s="66">
        <f>SUM(E116+E120)</f>
        <v>0</v>
      </c>
      <c r="F122" s="66">
        <f aca="true" t="shared" si="46" ref="F122:K122">SUM(F116+F120)</f>
        <v>0</v>
      </c>
      <c r="G122" s="66">
        <f t="shared" si="46"/>
        <v>0</v>
      </c>
      <c r="H122" s="66">
        <f t="shared" si="46"/>
        <v>0</v>
      </c>
      <c r="I122" s="66">
        <f t="shared" si="46"/>
        <v>0</v>
      </c>
      <c r="J122" s="66">
        <f t="shared" si="46"/>
        <v>0</v>
      </c>
      <c r="K122" s="66">
        <f t="shared" si="46"/>
        <v>0</v>
      </c>
    </row>
    <row r="123" spans="1:11" s="21" customFormat="1" ht="156.75" customHeight="1">
      <c r="A123" s="143" t="s">
        <v>314</v>
      </c>
      <c r="B123" s="61"/>
      <c r="C123" s="92" t="s">
        <v>537</v>
      </c>
      <c r="D123" s="107">
        <f aca="true" t="shared" si="47" ref="D123:K123">D124</f>
        <v>300</v>
      </c>
      <c r="E123" s="107">
        <f t="shared" si="47"/>
        <v>300</v>
      </c>
      <c r="F123" s="107">
        <f t="shared" si="47"/>
        <v>0</v>
      </c>
      <c r="G123" s="107">
        <f t="shared" si="47"/>
        <v>0</v>
      </c>
      <c r="H123" s="107">
        <f t="shared" si="47"/>
        <v>0</v>
      </c>
      <c r="I123" s="107">
        <f t="shared" si="47"/>
        <v>0</v>
      </c>
      <c r="J123" s="107">
        <f t="shared" si="47"/>
        <v>300</v>
      </c>
      <c r="K123" s="107">
        <f t="shared" si="47"/>
        <v>300</v>
      </c>
    </row>
    <row r="124" spans="1:11" s="21" customFormat="1" ht="18.75" customHeight="1">
      <c r="A124" s="98" t="s">
        <v>63</v>
      </c>
      <c r="B124" s="61" t="s">
        <v>53</v>
      </c>
      <c r="C124" s="62" t="s">
        <v>519</v>
      </c>
      <c r="D124" s="63">
        <v>300</v>
      </c>
      <c r="E124" s="63">
        <f>D124</f>
        <v>300</v>
      </c>
      <c r="F124" s="63">
        <v>0</v>
      </c>
      <c r="G124" s="63">
        <v>0</v>
      </c>
      <c r="H124" s="63">
        <v>0</v>
      </c>
      <c r="I124" s="63">
        <f>F124+G124+H124</f>
        <v>0</v>
      </c>
      <c r="J124" s="63">
        <f>D124-F124</f>
        <v>300</v>
      </c>
      <c r="K124" s="63">
        <f>E124-F124</f>
        <v>300</v>
      </c>
    </row>
    <row r="125" spans="1:11" s="21" customFormat="1" ht="15" customHeight="1">
      <c r="A125" s="87" t="s">
        <v>315</v>
      </c>
      <c r="B125" s="64"/>
      <c r="C125" s="65" t="s">
        <v>108</v>
      </c>
      <c r="D125" s="66">
        <f>D123</f>
        <v>300</v>
      </c>
      <c r="E125" s="66">
        <f>D125</f>
        <v>300</v>
      </c>
      <c r="F125" s="66">
        <f>F123</f>
        <v>0</v>
      </c>
      <c r="G125" s="66">
        <f>SUM(G123:G124)</f>
        <v>0</v>
      </c>
      <c r="H125" s="66">
        <f>SUM(H123:H124)</f>
        <v>0</v>
      </c>
      <c r="I125" s="66">
        <f>I123</f>
        <v>0</v>
      </c>
      <c r="J125" s="66">
        <f>J123</f>
        <v>300</v>
      </c>
      <c r="K125" s="66">
        <f>K123</f>
        <v>300</v>
      </c>
    </row>
    <row r="126" spans="1:11" s="59" customFormat="1" ht="18" customHeight="1">
      <c r="A126" s="138" t="s">
        <v>138</v>
      </c>
      <c r="B126" s="73"/>
      <c r="C126" s="92" t="s">
        <v>536</v>
      </c>
      <c r="D126" s="90">
        <f>D127+D128+D130</f>
        <v>42484</v>
      </c>
      <c r="E126" s="90">
        <f>E127+E128+E130</f>
        <v>42484</v>
      </c>
      <c r="F126" s="90">
        <f>F127+F128+F130</f>
        <v>27653.26</v>
      </c>
      <c r="G126" s="90">
        <f>SUM(G127:G131)</f>
        <v>0</v>
      </c>
      <c r="H126" s="90">
        <f>SUM(H127:H131)</f>
        <v>0</v>
      </c>
      <c r="I126" s="90">
        <f>SUM(I127:I131)</f>
        <v>27653.26</v>
      </c>
      <c r="J126" s="90">
        <f>SUM(J127:J131)</f>
        <v>14830.740000000002</v>
      </c>
      <c r="K126" s="90">
        <f>SUM(K127:K131)</f>
        <v>14830.740000000002</v>
      </c>
    </row>
    <row r="127" spans="1:11" s="21" customFormat="1" ht="21" customHeight="1">
      <c r="A127" s="98" t="s">
        <v>59</v>
      </c>
      <c r="B127" s="61" t="s">
        <v>53</v>
      </c>
      <c r="C127" s="62" t="s">
        <v>520</v>
      </c>
      <c r="D127" s="63">
        <v>32484</v>
      </c>
      <c r="E127" s="63">
        <f>D127</f>
        <v>32484</v>
      </c>
      <c r="F127" s="63">
        <f>4899.56+4484.88+1864.16+6297.06+3882.35+1315.25</f>
        <v>22743.26</v>
      </c>
      <c r="G127" s="63">
        <v>0</v>
      </c>
      <c r="H127" s="63">
        <v>0</v>
      </c>
      <c r="I127" s="63">
        <f>SUM(F127:H127)</f>
        <v>22743.26</v>
      </c>
      <c r="J127" s="63">
        <f aca="true" t="shared" si="48" ref="J127:J139">D127-F127</f>
        <v>9740.740000000002</v>
      </c>
      <c r="K127" s="63">
        <f aca="true" t="shared" si="49" ref="K127:K139">E127-F127</f>
        <v>9740.740000000002</v>
      </c>
    </row>
    <row r="128" spans="1:11" s="21" customFormat="1" ht="18" customHeight="1">
      <c r="A128" s="98" t="s">
        <v>60</v>
      </c>
      <c r="B128" s="61"/>
      <c r="C128" s="62" t="s">
        <v>550</v>
      </c>
      <c r="D128" s="63">
        <v>5000</v>
      </c>
      <c r="E128" s="63">
        <f>D128</f>
        <v>5000</v>
      </c>
      <c r="F128" s="63">
        <v>4910</v>
      </c>
      <c r="G128" s="63">
        <v>0</v>
      </c>
      <c r="H128" s="63">
        <v>0</v>
      </c>
      <c r="I128" s="63">
        <f>SUM(F128:H128)</f>
        <v>4910</v>
      </c>
      <c r="J128" s="63">
        <f t="shared" si="48"/>
        <v>90</v>
      </c>
      <c r="K128" s="63">
        <f t="shared" si="49"/>
        <v>90</v>
      </c>
    </row>
    <row r="129" spans="1:11" s="21" customFormat="1" ht="0.75" customHeight="1">
      <c r="A129" s="98" t="s">
        <v>61</v>
      </c>
      <c r="B129" s="61" t="s">
        <v>53</v>
      </c>
      <c r="C129" s="62" t="s">
        <v>550</v>
      </c>
      <c r="D129" s="63">
        <v>0</v>
      </c>
      <c r="E129" s="63">
        <f>D129</f>
        <v>0</v>
      </c>
      <c r="F129" s="63">
        <v>0</v>
      </c>
      <c r="G129" s="63">
        <v>0</v>
      </c>
      <c r="H129" s="63">
        <v>0</v>
      </c>
      <c r="I129" s="63">
        <f>SUM(F129:H129)</f>
        <v>0</v>
      </c>
      <c r="J129" s="63">
        <f t="shared" si="48"/>
        <v>0</v>
      </c>
      <c r="K129" s="63">
        <f t="shared" si="49"/>
        <v>0</v>
      </c>
    </row>
    <row r="130" spans="1:11" s="21" customFormat="1" ht="19.5" customHeight="1">
      <c r="A130" s="98" t="s">
        <v>63</v>
      </c>
      <c r="B130" s="61" t="s">
        <v>53</v>
      </c>
      <c r="C130" s="62" t="s">
        <v>521</v>
      </c>
      <c r="D130" s="63">
        <v>5000</v>
      </c>
      <c r="E130" s="63">
        <f>D130</f>
        <v>5000</v>
      </c>
      <c r="F130" s="63">
        <v>0</v>
      </c>
      <c r="G130" s="63">
        <v>0</v>
      </c>
      <c r="H130" s="63">
        <v>0</v>
      </c>
      <c r="I130" s="63">
        <f>SUM(F130:H130)</f>
        <v>0</v>
      </c>
      <c r="J130" s="63">
        <f>D130-F130</f>
        <v>5000</v>
      </c>
      <c r="K130" s="63">
        <f t="shared" si="49"/>
        <v>5000</v>
      </c>
    </row>
    <row r="131" spans="1:11" s="21" customFormat="1" ht="18" customHeight="1" hidden="1">
      <c r="A131" s="60"/>
      <c r="B131" s="61" t="s">
        <v>53</v>
      </c>
      <c r="C131" s="62" t="s">
        <v>318</v>
      </c>
      <c r="D131" s="63">
        <v>0</v>
      </c>
      <c r="E131" s="63">
        <f>D131</f>
        <v>0</v>
      </c>
      <c r="F131" s="63">
        <v>0</v>
      </c>
      <c r="G131" s="63">
        <v>0</v>
      </c>
      <c r="H131" s="63">
        <v>0</v>
      </c>
      <c r="I131" s="63">
        <f>SUM(F131:H131)</f>
        <v>0</v>
      </c>
      <c r="J131" s="63">
        <f t="shared" si="48"/>
        <v>0</v>
      </c>
      <c r="K131" s="63">
        <f t="shared" si="49"/>
        <v>0</v>
      </c>
    </row>
    <row r="132" spans="1:11" s="21" customFormat="1" ht="18" customHeight="1">
      <c r="A132" s="138" t="s">
        <v>368</v>
      </c>
      <c r="B132" s="61"/>
      <c r="C132" s="92" t="s">
        <v>535</v>
      </c>
      <c r="D132" s="107">
        <f aca="true" t="shared" si="50" ref="D132:I132">D133</f>
        <v>5000</v>
      </c>
      <c r="E132" s="107">
        <f t="shared" si="50"/>
        <v>5000</v>
      </c>
      <c r="F132" s="107">
        <f t="shared" si="50"/>
        <v>0</v>
      </c>
      <c r="G132" s="107">
        <f t="shared" si="50"/>
        <v>0</v>
      </c>
      <c r="H132" s="107">
        <f t="shared" si="50"/>
        <v>0</v>
      </c>
      <c r="I132" s="107">
        <f t="shared" si="50"/>
        <v>0</v>
      </c>
      <c r="J132" s="107">
        <f>D132-F132</f>
        <v>5000</v>
      </c>
      <c r="K132" s="107">
        <f>E132-F132</f>
        <v>5000</v>
      </c>
    </row>
    <row r="133" spans="1:11" s="21" customFormat="1" ht="18" customHeight="1">
      <c r="A133" s="98" t="s">
        <v>60</v>
      </c>
      <c r="B133" s="61" t="s">
        <v>53</v>
      </c>
      <c r="C133" s="62" t="s">
        <v>522</v>
      </c>
      <c r="D133" s="63">
        <v>5000</v>
      </c>
      <c r="E133" s="63">
        <f>D133</f>
        <v>5000</v>
      </c>
      <c r="F133" s="63">
        <v>0</v>
      </c>
      <c r="G133" s="63">
        <f>F133</f>
        <v>0</v>
      </c>
      <c r="H133" s="63">
        <f>G133</f>
        <v>0</v>
      </c>
      <c r="I133" s="63">
        <f>H133</f>
        <v>0</v>
      </c>
      <c r="J133" s="63">
        <f>D133-F133</f>
        <v>5000</v>
      </c>
      <c r="K133" s="63">
        <f>E133-F133</f>
        <v>5000</v>
      </c>
    </row>
    <row r="134" spans="1:11" s="21" customFormat="1" ht="31.5" customHeight="1">
      <c r="A134" s="138" t="s">
        <v>369</v>
      </c>
      <c r="B134" s="61"/>
      <c r="C134" s="92" t="s">
        <v>534</v>
      </c>
      <c r="D134" s="107">
        <f>D135+D136</f>
        <v>5000</v>
      </c>
      <c r="E134" s="107">
        <f>E135+E136</f>
        <v>5000</v>
      </c>
      <c r="F134" s="107">
        <f aca="true" t="shared" si="51" ref="F134:K134">F135+F136</f>
        <v>0</v>
      </c>
      <c r="G134" s="107">
        <f t="shared" si="51"/>
        <v>0</v>
      </c>
      <c r="H134" s="107">
        <f t="shared" si="51"/>
        <v>0</v>
      </c>
      <c r="I134" s="107">
        <f t="shared" si="51"/>
        <v>0</v>
      </c>
      <c r="J134" s="107">
        <f t="shared" si="51"/>
        <v>5000</v>
      </c>
      <c r="K134" s="107">
        <f t="shared" si="51"/>
        <v>5000</v>
      </c>
    </row>
    <row r="135" spans="1:11" s="21" customFormat="1" ht="21" customHeight="1">
      <c r="A135" s="98" t="s">
        <v>60</v>
      </c>
      <c r="B135" s="61"/>
      <c r="C135" s="62" t="s">
        <v>523</v>
      </c>
      <c r="D135" s="63">
        <v>5000</v>
      </c>
      <c r="E135" s="63">
        <f>D135</f>
        <v>5000</v>
      </c>
      <c r="F135" s="63">
        <v>0</v>
      </c>
      <c r="G135" s="63"/>
      <c r="H135" s="63"/>
      <c r="I135" s="63"/>
      <c r="J135" s="63">
        <f>D135-F135</f>
        <v>5000</v>
      </c>
      <c r="K135" s="63">
        <f>E135-F135</f>
        <v>5000</v>
      </c>
    </row>
    <row r="136" spans="1:11" s="21" customFormat="1" ht="21" customHeight="1" hidden="1">
      <c r="A136" s="98" t="s">
        <v>181</v>
      </c>
      <c r="B136" s="61"/>
      <c r="C136" s="62" t="s">
        <v>485</v>
      </c>
      <c r="D136" s="63">
        <v>0</v>
      </c>
      <c r="E136" s="63">
        <f>D136</f>
        <v>0</v>
      </c>
      <c r="F136" s="63">
        <v>0</v>
      </c>
      <c r="G136" s="63"/>
      <c r="H136" s="63"/>
      <c r="I136" s="63"/>
      <c r="J136" s="63">
        <f>D136-F136</f>
        <v>0</v>
      </c>
      <c r="K136" s="63">
        <f>E136-F136</f>
        <v>0</v>
      </c>
    </row>
    <row r="137" spans="1:11" s="21" customFormat="1" ht="19.5" customHeight="1">
      <c r="A137" s="140" t="s">
        <v>317</v>
      </c>
      <c r="B137" s="61"/>
      <c r="C137" s="92" t="s">
        <v>533</v>
      </c>
      <c r="D137" s="90">
        <f>SUM(D138:D139)</f>
        <v>24211.92</v>
      </c>
      <c r="E137" s="90">
        <f aca="true" t="shared" si="52" ref="E137:K137">SUM(E138:E139)</f>
        <v>24211.92</v>
      </c>
      <c r="F137" s="90">
        <f>F138</f>
        <v>0</v>
      </c>
      <c r="G137" s="90">
        <f t="shared" si="52"/>
        <v>0</v>
      </c>
      <c r="H137" s="90">
        <f t="shared" si="52"/>
        <v>0</v>
      </c>
      <c r="I137" s="90">
        <f t="shared" si="52"/>
        <v>0</v>
      </c>
      <c r="J137" s="90">
        <f t="shared" si="52"/>
        <v>24211.92</v>
      </c>
      <c r="K137" s="90">
        <f t="shared" si="52"/>
        <v>24211.92</v>
      </c>
    </row>
    <row r="138" spans="1:11" s="21" customFormat="1" ht="21" customHeight="1">
      <c r="A138" s="60" t="s">
        <v>61</v>
      </c>
      <c r="B138" s="61"/>
      <c r="C138" s="62" t="s">
        <v>532</v>
      </c>
      <c r="D138" s="63">
        <f>5000+19211.92</f>
        <v>24211.92</v>
      </c>
      <c r="E138" s="63">
        <f>D138</f>
        <v>24211.92</v>
      </c>
      <c r="F138" s="63">
        <v>0</v>
      </c>
      <c r="G138" s="63">
        <v>0</v>
      </c>
      <c r="H138" s="63">
        <v>0</v>
      </c>
      <c r="I138" s="63">
        <f>SUM(F138:H138)</f>
        <v>0</v>
      </c>
      <c r="J138" s="63">
        <f t="shared" si="48"/>
        <v>24211.92</v>
      </c>
      <c r="K138" s="63">
        <f t="shared" si="49"/>
        <v>24211.92</v>
      </c>
    </row>
    <row r="139" spans="1:11" s="21" customFormat="1" ht="18" customHeight="1" hidden="1">
      <c r="A139" s="60" t="s">
        <v>240</v>
      </c>
      <c r="B139" s="61"/>
      <c r="C139" s="62" t="s">
        <v>318</v>
      </c>
      <c r="D139" s="63">
        <v>0</v>
      </c>
      <c r="E139" s="63">
        <f>D139</f>
        <v>0</v>
      </c>
      <c r="F139" s="63">
        <v>0</v>
      </c>
      <c r="G139" s="63">
        <v>0</v>
      </c>
      <c r="H139" s="63">
        <v>0</v>
      </c>
      <c r="I139" s="63">
        <f>SUM(F139:H139)</f>
        <v>0</v>
      </c>
      <c r="J139" s="63">
        <f t="shared" si="48"/>
        <v>0</v>
      </c>
      <c r="K139" s="63">
        <f t="shared" si="49"/>
        <v>0</v>
      </c>
    </row>
    <row r="140" spans="1:11" s="59" customFormat="1" ht="19.5" customHeight="1" hidden="1">
      <c r="A140" s="93" t="s">
        <v>161</v>
      </c>
      <c r="B140" s="73"/>
      <c r="C140" s="92" t="s">
        <v>162</v>
      </c>
      <c r="D140" s="90">
        <f>SUM(D141:D148)</f>
        <v>0</v>
      </c>
      <c r="E140" s="90">
        <f>SUM(E141:E148)</f>
        <v>0</v>
      </c>
      <c r="F140" s="90">
        <f>SUM(F141:F141)</f>
        <v>0</v>
      </c>
      <c r="G140" s="90">
        <f>SUM(G141:G141)</f>
        <v>0</v>
      </c>
      <c r="H140" s="90">
        <f>SUM(H141:H141)</f>
        <v>0</v>
      </c>
      <c r="I140" s="90">
        <f>SUM(I141:I141)</f>
        <v>0</v>
      </c>
      <c r="J140" s="90">
        <f>SUM(J141:J148)</f>
        <v>0</v>
      </c>
      <c r="K140" s="90">
        <f>SUM(K141:K148)</f>
        <v>0</v>
      </c>
    </row>
    <row r="141" spans="1:11" s="21" customFormat="1" ht="15.75" customHeight="1" hidden="1">
      <c r="A141" s="60" t="s">
        <v>160</v>
      </c>
      <c r="B141" s="61" t="s">
        <v>53</v>
      </c>
      <c r="C141" s="62" t="s">
        <v>206</v>
      </c>
      <c r="D141" s="63">
        <v>0</v>
      </c>
      <c r="E141" s="63">
        <f>D141</f>
        <v>0</v>
      </c>
      <c r="F141" s="63">
        <v>0</v>
      </c>
      <c r="G141" s="63">
        <v>0</v>
      </c>
      <c r="H141" s="63">
        <v>0</v>
      </c>
      <c r="I141" s="63">
        <f>SUM(F141:H141)</f>
        <v>0</v>
      </c>
      <c r="J141" s="63">
        <f>D141-F141</f>
        <v>0</v>
      </c>
      <c r="K141" s="63">
        <f>E141-F141</f>
        <v>0</v>
      </c>
    </row>
    <row r="142" spans="1:11" s="59" customFormat="1" ht="1.5" customHeight="1" hidden="1">
      <c r="A142" s="93" t="s">
        <v>139</v>
      </c>
      <c r="B142" s="73"/>
      <c r="C142" s="92" t="s">
        <v>140</v>
      </c>
      <c r="D142" s="90">
        <f>SUM(D143:D146)</f>
        <v>0</v>
      </c>
      <c r="E142" s="90">
        <f aca="true" t="shared" si="53" ref="E142:K142">SUM(E143:E146)</f>
        <v>0</v>
      </c>
      <c r="F142" s="90">
        <f t="shared" si="53"/>
        <v>0</v>
      </c>
      <c r="G142" s="90">
        <f t="shared" si="53"/>
        <v>0</v>
      </c>
      <c r="H142" s="90">
        <f t="shared" si="53"/>
        <v>0</v>
      </c>
      <c r="I142" s="90">
        <f t="shared" si="53"/>
        <v>0</v>
      </c>
      <c r="J142" s="90">
        <f t="shared" si="53"/>
        <v>0</v>
      </c>
      <c r="K142" s="90">
        <f t="shared" si="53"/>
        <v>0</v>
      </c>
    </row>
    <row r="143" spans="1:11" s="21" customFormat="1" ht="15" customHeight="1" hidden="1">
      <c r="A143" s="60"/>
      <c r="B143" s="61" t="s">
        <v>53</v>
      </c>
      <c r="C143" s="62"/>
      <c r="D143" s="63"/>
      <c r="E143" s="63">
        <f aca="true" t="shared" si="54" ref="E143:E148">D143</f>
        <v>0</v>
      </c>
      <c r="F143" s="63">
        <v>0</v>
      </c>
      <c r="G143" s="63">
        <v>0</v>
      </c>
      <c r="H143" s="63">
        <v>0</v>
      </c>
      <c r="I143" s="63">
        <f aca="true" t="shared" si="55" ref="I143:I148">SUM(F143:H143)</f>
        <v>0</v>
      </c>
      <c r="J143" s="63">
        <f aca="true" t="shared" si="56" ref="J143:J148">D143-F143</f>
        <v>0</v>
      </c>
      <c r="K143" s="63">
        <f aca="true" t="shared" si="57" ref="K143:K148">E143-F143</f>
        <v>0</v>
      </c>
    </row>
    <row r="144" spans="1:11" s="21" customFormat="1" ht="15" customHeight="1" hidden="1">
      <c r="A144" s="60"/>
      <c r="B144" s="61" t="s">
        <v>53</v>
      </c>
      <c r="C144" s="62"/>
      <c r="D144" s="63"/>
      <c r="E144" s="63">
        <f t="shared" si="54"/>
        <v>0</v>
      </c>
      <c r="F144" s="63">
        <v>0</v>
      </c>
      <c r="G144" s="63">
        <v>0</v>
      </c>
      <c r="H144" s="63">
        <v>0</v>
      </c>
      <c r="I144" s="63">
        <f t="shared" si="55"/>
        <v>0</v>
      </c>
      <c r="J144" s="63">
        <f t="shared" si="56"/>
        <v>0</v>
      </c>
      <c r="K144" s="63">
        <f t="shared" si="57"/>
        <v>0</v>
      </c>
    </row>
    <row r="145" spans="1:11" s="21" customFormat="1" ht="16.5" customHeight="1" hidden="1">
      <c r="A145" s="60" t="s">
        <v>61</v>
      </c>
      <c r="B145" s="61" t="s">
        <v>53</v>
      </c>
      <c r="C145" s="62" t="s">
        <v>154</v>
      </c>
      <c r="D145" s="63">
        <v>0</v>
      </c>
      <c r="E145" s="63">
        <f t="shared" si="54"/>
        <v>0</v>
      </c>
      <c r="F145" s="63">
        <v>0</v>
      </c>
      <c r="G145" s="63">
        <v>0</v>
      </c>
      <c r="H145" s="63">
        <v>0</v>
      </c>
      <c r="I145" s="63">
        <f t="shared" si="55"/>
        <v>0</v>
      </c>
      <c r="J145" s="63">
        <f t="shared" si="56"/>
        <v>0</v>
      </c>
      <c r="K145" s="63">
        <f t="shared" si="57"/>
        <v>0</v>
      </c>
    </row>
    <row r="146" spans="1:11" s="21" customFormat="1" ht="6" customHeight="1" hidden="1">
      <c r="A146" s="60" t="s">
        <v>63</v>
      </c>
      <c r="B146" s="61" t="s">
        <v>53</v>
      </c>
      <c r="C146" s="62" t="s">
        <v>207</v>
      </c>
      <c r="D146" s="63">
        <v>0</v>
      </c>
      <c r="E146" s="63">
        <f t="shared" si="54"/>
        <v>0</v>
      </c>
      <c r="F146" s="63">
        <v>0</v>
      </c>
      <c r="G146" s="63">
        <v>0</v>
      </c>
      <c r="H146" s="63">
        <v>0</v>
      </c>
      <c r="I146" s="63">
        <f t="shared" si="55"/>
        <v>0</v>
      </c>
      <c r="J146" s="63">
        <f t="shared" si="56"/>
        <v>0</v>
      </c>
      <c r="K146" s="63">
        <f t="shared" si="57"/>
        <v>0</v>
      </c>
    </row>
    <row r="147" spans="1:11" s="21" customFormat="1" ht="6.75" customHeight="1" hidden="1">
      <c r="A147" s="60"/>
      <c r="B147" s="61"/>
      <c r="C147" s="62"/>
      <c r="D147" s="63"/>
      <c r="E147" s="63">
        <f t="shared" si="54"/>
        <v>0</v>
      </c>
      <c r="F147" s="63">
        <v>0</v>
      </c>
      <c r="G147" s="63">
        <v>0</v>
      </c>
      <c r="H147" s="63">
        <v>0</v>
      </c>
      <c r="I147" s="63">
        <f t="shared" si="55"/>
        <v>0</v>
      </c>
      <c r="J147" s="63">
        <f t="shared" si="56"/>
        <v>0</v>
      </c>
      <c r="K147" s="63">
        <f t="shared" si="57"/>
        <v>0</v>
      </c>
    </row>
    <row r="148" spans="1:11" s="21" customFormat="1" ht="28.5" customHeight="1" hidden="1">
      <c r="A148" s="60" t="s">
        <v>252</v>
      </c>
      <c r="B148" s="61" t="s">
        <v>53</v>
      </c>
      <c r="C148" s="62" t="s">
        <v>251</v>
      </c>
      <c r="D148" s="63">
        <v>0</v>
      </c>
      <c r="E148" s="63">
        <f t="shared" si="54"/>
        <v>0</v>
      </c>
      <c r="F148" s="63">
        <v>0</v>
      </c>
      <c r="G148" s="63">
        <v>0</v>
      </c>
      <c r="H148" s="63">
        <v>0</v>
      </c>
      <c r="I148" s="63">
        <f t="shared" si="55"/>
        <v>0</v>
      </c>
      <c r="J148" s="63">
        <f t="shared" si="56"/>
        <v>0</v>
      </c>
      <c r="K148" s="63">
        <f t="shared" si="57"/>
        <v>0</v>
      </c>
    </row>
    <row r="149" spans="1:11" s="21" customFormat="1" ht="28.5" customHeight="1" hidden="1">
      <c r="A149" s="93" t="s">
        <v>139</v>
      </c>
      <c r="B149" s="73"/>
      <c r="C149" s="92" t="s">
        <v>140</v>
      </c>
      <c r="D149" s="90">
        <f>SUM(D150:D150)</f>
        <v>0</v>
      </c>
      <c r="E149" s="90">
        <f>SUM(E150:E150)</f>
        <v>0</v>
      </c>
      <c r="F149" s="90">
        <f aca="true" t="shared" si="58" ref="F149:K149">SUM(F150:F150)</f>
        <v>0</v>
      </c>
      <c r="G149" s="90">
        <f t="shared" si="58"/>
        <v>0</v>
      </c>
      <c r="H149" s="90">
        <f t="shared" si="58"/>
        <v>0</v>
      </c>
      <c r="I149" s="90">
        <f t="shared" si="58"/>
        <v>0</v>
      </c>
      <c r="J149" s="90">
        <f t="shared" si="58"/>
        <v>0</v>
      </c>
      <c r="K149" s="90">
        <f t="shared" si="58"/>
        <v>0</v>
      </c>
    </row>
    <row r="150" spans="1:11" s="21" customFormat="1" ht="28.5" customHeight="1" hidden="1">
      <c r="A150" s="60" t="s">
        <v>252</v>
      </c>
      <c r="B150" s="61" t="s">
        <v>53</v>
      </c>
      <c r="C150" s="62" t="s">
        <v>207</v>
      </c>
      <c r="D150" s="63">
        <v>0</v>
      </c>
      <c r="E150" s="63">
        <f>D150</f>
        <v>0</v>
      </c>
      <c r="F150" s="63">
        <v>0</v>
      </c>
      <c r="G150" s="63">
        <v>0</v>
      </c>
      <c r="H150" s="63">
        <v>0</v>
      </c>
      <c r="I150" s="63">
        <f>SUM(F150:H150)</f>
        <v>0</v>
      </c>
      <c r="J150" s="63">
        <f>D150-F150</f>
        <v>0</v>
      </c>
      <c r="K150" s="63">
        <f>E150-F150</f>
        <v>0</v>
      </c>
    </row>
    <row r="151" spans="1:11" s="21" customFormat="1" ht="15" customHeight="1">
      <c r="A151" s="118" t="s">
        <v>122</v>
      </c>
      <c r="B151" s="64"/>
      <c r="C151" s="65" t="s">
        <v>105</v>
      </c>
      <c r="D151" s="66">
        <f aca="true" t="shared" si="59" ref="D151:I151">D126+D132+D134+D137</f>
        <v>76695.92</v>
      </c>
      <c r="E151" s="66">
        <f t="shared" si="59"/>
        <v>76695.92</v>
      </c>
      <c r="F151" s="66">
        <f t="shared" si="59"/>
        <v>27653.26</v>
      </c>
      <c r="G151" s="66">
        <f t="shared" si="59"/>
        <v>0</v>
      </c>
      <c r="H151" s="66">
        <f t="shared" si="59"/>
        <v>0</v>
      </c>
      <c r="I151" s="66">
        <f t="shared" si="59"/>
        <v>27653.26</v>
      </c>
      <c r="J151" s="66">
        <f>D151-F151</f>
        <v>49042.66</v>
      </c>
      <c r="K151" s="66">
        <f>E151-F151</f>
        <v>49042.66</v>
      </c>
    </row>
    <row r="152" spans="1:11" s="21" customFormat="1" ht="36.75" customHeight="1">
      <c r="A152" s="72" t="s">
        <v>357</v>
      </c>
      <c r="B152" s="64"/>
      <c r="C152" s="89" t="s">
        <v>125</v>
      </c>
      <c r="D152" s="66">
        <f>D125+D151</f>
        <v>76995.92</v>
      </c>
      <c r="E152" s="66">
        <f>D152</f>
        <v>76995.92</v>
      </c>
      <c r="F152" s="66">
        <f>F125+F151</f>
        <v>27653.26</v>
      </c>
      <c r="G152" s="66">
        <f>G125+G151</f>
        <v>0</v>
      </c>
      <c r="H152" s="66">
        <f>H125+H151</f>
        <v>0</v>
      </c>
      <c r="I152" s="66">
        <f>I125+I151</f>
        <v>27653.26</v>
      </c>
      <c r="J152" s="66">
        <f>D152-F152</f>
        <v>49342.66</v>
      </c>
      <c r="K152" s="66">
        <f>E152-F152</f>
        <v>49342.66</v>
      </c>
    </row>
    <row r="153" spans="1:11" s="21" customFormat="1" ht="0.75" customHeight="1">
      <c r="A153" s="93" t="s">
        <v>228</v>
      </c>
      <c r="B153" s="64"/>
      <c r="C153" s="92" t="s">
        <v>229</v>
      </c>
      <c r="D153" s="90" t="e">
        <f>SUM(#REF!)</f>
        <v>#REF!</v>
      </c>
      <c r="E153" s="90" t="e">
        <f>SUM(#REF!)</f>
        <v>#REF!</v>
      </c>
      <c r="F153" s="90" t="e">
        <f>SUM(#REF!)</f>
        <v>#REF!</v>
      </c>
      <c r="G153" s="90" t="e">
        <f>SUM(#REF!)</f>
        <v>#REF!</v>
      </c>
      <c r="H153" s="90" t="e">
        <f>SUM(#REF!)</f>
        <v>#REF!</v>
      </c>
      <c r="I153" s="90" t="e">
        <f>SUM(#REF!)</f>
        <v>#REF!</v>
      </c>
      <c r="J153" s="90" t="e">
        <f>SUM(#REF!)</f>
        <v>#REF!</v>
      </c>
      <c r="K153" s="90" t="e">
        <f>SUM(#REF!)</f>
        <v>#REF!</v>
      </c>
    </row>
    <row r="154" spans="1:11" s="59" customFormat="1" ht="22.5" customHeight="1" hidden="1">
      <c r="A154" s="123" t="s">
        <v>285</v>
      </c>
      <c r="B154" s="73"/>
      <c r="C154" s="92" t="s">
        <v>473</v>
      </c>
      <c r="D154" s="90">
        <f aca="true" t="shared" si="60" ref="D154:I154">D155+D157+D156</f>
        <v>0</v>
      </c>
      <c r="E154" s="90">
        <f t="shared" si="60"/>
        <v>0</v>
      </c>
      <c r="F154" s="90">
        <f t="shared" si="60"/>
        <v>0</v>
      </c>
      <c r="G154" s="90">
        <f t="shared" si="60"/>
        <v>0</v>
      </c>
      <c r="H154" s="90">
        <f t="shared" si="60"/>
        <v>0</v>
      </c>
      <c r="I154" s="90">
        <f t="shared" si="60"/>
        <v>0</v>
      </c>
      <c r="J154" s="90">
        <f>D154-F154</f>
        <v>0</v>
      </c>
      <c r="K154" s="90">
        <f>E154-F154</f>
        <v>0</v>
      </c>
    </row>
    <row r="155" spans="1:11" s="59" customFormat="1" ht="22.5" customHeight="1" hidden="1">
      <c r="A155" s="98" t="s">
        <v>60</v>
      </c>
      <c r="B155" s="61" t="s">
        <v>53</v>
      </c>
      <c r="C155" s="62" t="s">
        <v>474</v>
      </c>
      <c r="D155" s="63">
        <v>0</v>
      </c>
      <c r="E155" s="63">
        <f>D155</f>
        <v>0</v>
      </c>
      <c r="F155" s="63">
        <v>0</v>
      </c>
      <c r="G155" s="63">
        <v>0</v>
      </c>
      <c r="H155" s="63">
        <v>0</v>
      </c>
      <c r="I155" s="63">
        <f>SUM(F155:H155)</f>
        <v>0</v>
      </c>
      <c r="J155" s="63">
        <f>D155-F155</f>
        <v>0</v>
      </c>
      <c r="K155" s="63">
        <f>E155-F155</f>
        <v>0</v>
      </c>
    </row>
    <row r="156" spans="1:11" s="59" customFormat="1" ht="22.5" customHeight="1" hidden="1">
      <c r="A156" s="60" t="s">
        <v>61</v>
      </c>
      <c r="B156" s="61" t="s">
        <v>53</v>
      </c>
      <c r="C156" s="62" t="s">
        <v>475</v>
      </c>
      <c r="D156" s="63">
        <v>0</v>
      </c>
      <c r="E156" s="63">
        <f>D156</f>
        <v>0</v>
      </c>
      <c r="F156" s="63">
        <v>0</v>
      </c>
      <c r="G156" s="63">
        <v>0</v>
      </c>
      <c r="H156" s="63">
        <v>0</v>
      </c>
      <c r="I156" s="63">
        <f>SUM(F156:H156)</f>
        <v>0</v>
      </c>
      <c r="J156" s="63">
        <f>D156-F156</f>
        <v>0</v>
      </c>
      <c r="K156" s="63">
        <f>E156-F156</f>
        <v>0</v>
      </c>
    </row>
    <row r="157" spans="1:11" s="59" customFormat="1" ht="28.5" customHeight="1" hidden="1">
      <c r="A157" s="98" t="s">
        <v>372</v>
      </c>
      <c r="B157" s="61" t="s">
        <v>53</v>
      </c>
      <c r="C157" s="62" t="s">
        <v>476</v>
      </c>
      <c r="D157" s="63">
        <v>0</v>
      </c>
      <c r="E157" s="63">
        <f>D157</f>
        <v>0</v>
      </c>
      <c r="F157" s="63">
        <v>0</v>
      </c>
      <c r="G157" s="63">
        <v>0</v>
      </c>
      <c r="H157" s="63">
        <v>0</v>
      </c>
      <c r="I157" s="63">
        <f>SUM(F157:H157)</f>
        <v>0</v>
      </c>
      <c r="J157" s="63">
        <f>D157-F157</f>
        <v>0</v>
      </c>
      <c r="K157" s="63">
        <f>E157-F157</f>
        <v>0</v>
      </c>
    </row>
    <row r="158" spans="1:11" s="59" customFormat="1" ht="18" customHeight="1" hidden="1">
      <c r="A158" s="60" t="s">
        <v>55</v>
      </c>
      <c r="B158" s="61" t="s">
        <v>53</v>
      </c>
      <c r="C158" s="62" t="s">
        <v>188</v>
      </c>
      <c r="D158" s="63"/>
      <c r="E158" s="63">
        <f aca="true" t="shared" si="61" ref="E158:E167">D158</f>
        <v>0</v>
      </c>
      <c r="F158" s="63"/>
      <c r="G158" s="63">
        <v>0</v>
      </c>
      <c r="H158" s="63">
        <v>0</v>
      </c>
      <c r="I158" s="63">
        <f aca="true" t="shared" si="62" ref="I158:I167">SUM(F158:H158)</f>
        <v>0</v>
      </c>
      <c r="J158" s="63">
        <f aca="true" t="shared" si="63" ref="J158:J167">D158-F158</f>
        <v>0</v>
      </c>
      <c r="K158" s="63">
        <f aca="true" t="shared" si="64" ref="K158:K167">E158-F158</f>
        <v>0</v>
      </c>
    </row>
    <row r="159" spans="1:11" s="59" customFormat="1" ht="29.25" customHeight="1" hidden="1">
      <c r="A159" s="60" t="s">
        <v>213</v>
      </c>
      <c r="B159" s="61" t="s">
        <v>53</v>
      </c>
      <c r="C159" s="62" t="s">
        <v>216</v>
      </c>
      <c r="D159" s="63">
        <v>0</v>
      </c>
      <c r="E159" s="63">
        <f t="shared" si="61"/>
        <v>0</v>
      </c>
      <c r="F159" s="63">
        <v>0</v>
      </c>
      <c r="G159" s="63">
        <v>0</v>
      </c>
      <c r="H159" s="63">
        <v>0</v>
      </c>
      <c r="I159" s="63">
        <f t="shared" si="62"/>
        <v>0</v>
      </c>
      <c r="J159" s="63">
        <f t="shared" si="63"/>
        <v>0</v>
      </c>
      <c r="K159" s="63">
        <f t="shared" si="64"/>
        <v>0</v>
      </c>
    </row>
    <row r="160" spans="1:11" s="59" customFormat="1" ht="18" customHeight="1" hidden="1">
      <c r="A160" s="60" t="s">
        <v>57</v>
      </c>
      <c r="B160" s="61" t="s">
        <v>53</v>
      </c>
      <c r="C160" s="62" t="s">
        <v>189</v>
      </c>
      <c r="D160" s="63"/>
      <c r="E160" s="63">
        <f t="shared" si="61"/>
        <v>0</v>
      </c>
      <c r="F160" s="63"/>
      <c r="G160" s="63">
        <v>0</v>
      </c>
      <c r="H160" s="63">
        <v>0</v>
      </c>
      <c r="I160" s="63">
        <f t="shared" si="62"/>
        <v>0</v>
      </c>
      <c r="J160" s="63">
        <f t="shared" si="63"/>
        <v>0</v>
      </c>
      <c r="K160" s="63">
        <f t="shared" si="64"/>
        <v>0</v>
      </c>
    </row>
    <row r="161" spans="1:11" s="59" customFormat="1" ht="30.75" customHeight="1" hidden="1">
      <c r="A161" s="60" t="s">
        <v>214</v>
      </c>
      <c r="B161" s="61" t="s">
        <v>53</v>
      </c>
      <c r="C161" s="62" t="s">
        <v>217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f t="shared" si="62"/>
        <v>0</v>
      </c>
      <c r="J161" s="63">
        <f t="shared" si="63"/>
        <v>0</v>
      </c>
      <c r="K161" s="63">
        <f t="shared" si="64"/>
        <v>0</v>
      </c>
    </row>
    <row r="162" spans="1:11" s="59" customFormat="1" ht="18" customHeight="1" hidden="1">
      <c r="A162" s="60" t="s">
        <v>59</v>
      </c>
      <c r="B162" s="61" t="s">
        <v>53</v>
      </c>
      <c r="C162" s="62" t="s">
        <v>215</v>
      </c>
      <c r="D162" s="63">
        <v>0</v>
      </c>
      <c r="E162" s="63">
        <f t="shared" si="61"/>
        <v>0</v>
      </c>
      <c r="F162" s="63">
        <v>0</v>
      </c>
      <c r="G162" s="63">
        <v>0</v>
      </c>
      <c r="H162" s="63">
        <v>0</v>
      </c>
      <c r="I162" s="63">
        <f t="shared" si="62"/>
        <v>0</v>
      </c>
      <c r="J162" s="63">
        <f t="shared" si="63"/>
        <v>0</v>
      </c>
      <c r="K162" s="63">
        <f t="shared" si="64"/>
        <v>0</v>
      </c>
    </row>
    <row r="163" spans="1:11" s="59" customFormat="1" ht="18" customHeight="1" hidden="1">
      <c r="A163" s="60" t="s">
        <v>60</v>
      </c>
      <c r="B163" s="61" t="s">
        <v>53</v>
      </c>
      <c r="C163" s="62" t="s">
        <v>208</v>
      </c>
      <c r="D163" s="63">
        <v>0</v>
      </c>
      <c r="E163" s="63">
        <f t="shared" si="61"/>
        <v>0</v>
      </c>
      <c r="F163" s="63">
        <v>0</v>
      </c>
      <c r="G163" s="63">
        <v>0</v>
      </c>
      <c r="H163" s="63">
        <v>0</v>
      </c>
      <c r="I163" s="63">
        <f t="shared" si="62"/>
        <v>0</v>
      </c>
      <c r="J163" s="63">
        <f t="shared" si="63"/>
        <v>0</v>
      </c>
      <c r="K163" s="63">
        <f t="shared" si="64"/>
        <v>0</v>
      </c>
    </row>
    <row r="164" spans="1:11" s="59" customFormat="1" ht="18" customHeight="1" hidden="1">
      <c r="A164" s="60" t="s">
        <v>61</v>
      </c>
      <c r="B164" s="61" t="s">
        <v>53</v>
      </c>
      <c r="C164" s="62" t="s">
        <v>209</v>
      </c>
      <c r="D164" s="63">
        <v>0</v>
      </c>
      <c r="E164" s="63">
        <f t="shared" si="61"/>
        <v>0</v>
      </c>
      <c r="F164" s="63">
        <v>0</v>
      </c>
      <c r="G164" s="63">
        <v>0</v>
      </c>
      <c r="H164" s="63">
        <v>0</v>
      </c>
      <c r="I164" s="63">
        <f t="shared" si="62"/>
        <v>0</v>
      </c>
      <c r="J164" s="63">
        <f t="shared" si="63"/>
        <v>0</v>
      </c>
      <c r="K164" s="63">
        <f t="shared" si="64"/>
        <v>0</v>
      </c>
    </row>
    <row r="165" spans="1:11" s="59" customFormat="1" ht="18" customHeight="1" hidden="1">
      <c r="A165" s="60" t="s">
        <v>62</v>
      </c>
      <c r="B165" s="61" t="s">
        <v>53</v>
      </c>
      <c r="C165" s="62" t="s">
        <v>210</v>
      </c>
      <c r="D165" s="63">
        <v>0</v>
      </c>
      <c r="E165" s="63">
        <f t="shared" si="61"/>
        <v>0</v>
      </c>
      <c r="F165" s="63">
        <v>0</v>
      </c>
      <c r="G165" s="63">
        <v>0</v>
      </c>
      <c r="H165" s="63">
        <v>0</v>
      </c>
      <c r="I165" s="63">
        <f t="shared" si="62"/>
        <v>0</v>
      </c>
      <c r="J165" s="63">
        <f t="shared" si="63"/>
        <v>0</v>
      </c>
      <c r="K165" s="63">
        <f t="shared" si="64"/>
        <v>0</v>
      </c>
    </row>
    <row r="166" spans="1:11" s="59" customFormat="1" ht="18" customHeight="1" hidden="1">
      <c r="A166" s="60" t="s">
        <v>111</v>
      </c>
      <c r="B166" s="61" t="s">
        <v>53</v>
      </c>
      <c r="C166" s="62" t="s">
        <v>211</v>
      </c>
      <c r="D166" s="63">
        <v>0</v>
      </c>
      <c r="E166" s="63">
        <f t="shared" si="61"/>
        <v>0</v>
      </c>
      <c r="F166" s="63">
        <v>0</v>
      </c>
      <c r="G166" s="63">
        <v>0</v>
      </c>
      <c r="H166" s="63">
        <v>0</v>
      </c>
      <c r="I166" s="63">
        <f t="shared" si="62"/>
        <v>0</v>
      </c>
      <c r="J166" s="63">
        <f t="shared" si="63"/>
        <v>0</v>
      </c>
      <c r="K166" s="63">
        <f t="shared" si="64"/>
        <v>0</v>
      </c>
    </row>
    <row r="167" spans="1:11" s="59" customFormat="1" ht="32.25" customHeight="1" hidden="1">
      <c r="A167" s="60" t="s">
        <v>63</v>
      </c>
      <c r="B167" s="61" t="s">
        <v>53</v>
      </c>
      <c r="C167" s="62" t="s">
        <v>212</v>
      </c>
      <c r="D167" s="63">
        <v>0</v>
      </c>
      <c r="E167" s="63">
        <f t="shared" si="61"/>
        <v>0</v>
      </c>
      <c r="F167" s="63">
        <v>0</v>
      </c>
      <c r="G167" s="63">
        <v>0</v>
      </c>
      <c r="H167" s="63">
        <v>0</v>
      </c>
      <c r="I167" s="63">
        <f t="shared" si="62"/>
        <v>0</v>
      </c>
      <c r="J167" s="63">
        <f t="shared" si="63"/>
        <v>0</v>
      </c>
      <c r="K167" s="63">
        <f t="shared" si="64"/>
        <v>0</v>
      </c>
    </row>
    <row r="168" spans="1:11" s="59" customFormat="1" ht="30" customHeight="1" hidden="1">
      <c r="A168" s="93" t="s">
        <v>197</v>
      </c>
      <c r="B168" s="73"/>
      <c r="C168" s="92" t="s">
        <v>191</v>
      </c>
      <c r="D168" s="90">
        <f aca="true" t="shared" si="65" ref="D168:K168">SUM(D169:D169)</f>
        <v>0</v>
      </c>
      <c r="E168" s="90">
        <f t="shared" si="65"/>
        <v>0</v>
      </c>
      <c r="F168" s="90">
        <v>0</v>
      </c>
      <c r="G168" s="90">
        <f t="shared" si="65"/>
        <v>0</v>
      </c>
      <c r="H168" s="90">
        <f t="shared" si="65"/>
        <v>0</v>
      </c>
      <c r="I168" s="90">
        <f t="shared" si="65"/>
        <v>0</v>
      </c>
      <c r="J168" s="90">
        <f t="shared" si="65"/>
        <v>0</v>
      </c>
      <c r="K168" s="90">
        <f t="shared" si="65"/>
        <v>0</v>
      </c>
    </row>
    <row r="169" spans="1:11" s="59" customFormat="1" ht="18" customHeight="1" hidden="1">
      <c r="A169" s="60" t="s">
        <v>54</v>
      </c>
      <c r="B169" s="61" t="s">
        <v>53</v>
      </c>
      <c r="C169" s="62" t="s">
        <v>192</v>
      </c>
      <c r="D169" s="63">
        <v>0</v>
      </c>
      <c r="E169" s="63">
        <f>D169</f>
        <v>0</v>
      </c>
      <c r="F169" s="63">
        <v>0</v>
      </c>
      <c r="G169" s="63">
        <v>0</v>
      </c>
      <c r="H169" s="63">
        <v>0</v>
      </c>
      <c r="I169" s="63">
        <f>SUM(F169:H169)</f>
        <v>0</v>
      </c>
      <c r="J169" s="63">
        <f>D169-F169</f>
        <v>0</v>
      </c>
      <c r="K169" s="63">
        <f>E169-F169</f>
        <v>0</v>
      </c>
    </row>
    <row r="170" spans="1:11" s="59" customFormat="1" ht="18" customHeight="1" hidden="1">
      <c r="A170" s="93" t="s">
        <v>190</v>
      </c>
      <c r="B170" s="73"/>
      <c r="C170" s="92" t="s">
        <v>193</v>
      </c>
      <c r="D170" s="90">
        <f>SUM(D171:D171)</f>
        <v>0</v>
      </c>
      <c r="E170" s="90">
        <f>SUM(E171:E171)</f>
        <v>0</v>
      </c>
      <c r="F170" s="90">
        <f aca="true" t="shared" si="66" ref="F170:K170">SUM(F171:F171)</f>
        <v>0</v>
      </c>
      <c r="G170" s="90">
        <f t="shared" si="66"/>
        <v>0</v>
      </c>
      <c r="H170" s="90">
        <f t="shared" si="66"/>
        <v>0</v>
      </c>
      <c r="I170" s="90">
        <f t="shared" si="66"/>
        <v>0</v>
      </c>
      <c r="J170" s="90">
        <f t="shared" si="66"/>
        <v>0</v>
      </c>
      <c r="K170" s="90">
        <f t="shared" si="66"/>
        <v>0</v>
      </c>
    </row>
    <row r="171" spans="1:11" s="21" customFormat="1" ht="16.5" customHeight="1" hidden="1">
      <c r="A171" s="60" t="s">
        <v>127</v>
      </c>
      <c r="B171" s="61" t="s">
        <v>53</v>
      </c>
      <c r="C171" s="62" t="s">
        <v>194</v>
      </c>
      <c r="D171" s="63"/>
      <c r="E171" s="63">
        <f>D171</f>
        <v>0</v>
      </c>
      <c r="F171" s="63"/>
      <c r="G171" s="63">
        <v>0</v>
      </c>
      <c r="H171" s="63">
        <v>0</v>
      </c>
      <c r="I171" s="63">
        <f>SUM(F171:H171)</f>
        <v>0</v>
      </c>
      <c r="J171" s="63">
        <f>D171-F171</f>
        <v>0</v>
      </c>
      <c r="K171" s="63">
        <f>E171-F171</f>
        <v>0</v>
      </c>
    </row>
    <row r="172" spans="1:11" s="21" customFormat="1" ht="65.25" customHeight="1" hidden="1">
      <c r="A172" s="123" t="s">
        <v>370</v>
      </c>
      <c r="B172" s="73"/>
      <c r="C172" s="92" t="s">
        <v>477</v>
      </c>
      <c r="D172" s="90">
        <f>D173</f>
        <v>0</v>
      </c>
      <c r="E172" s="90">
        <f>E173</f>
        <v>0</v>
      </c>
      <c r="F172" s="90">
        <f aca="true" t="shared" si="67" ref="F172:K172">F173</f>
        <v>0</v>
      </c>
      <c r="G172" s="90">
        <f t="shared" si="67"/>
        <v>0</v>
      </c>
      <c r="H172" s="90">
        <f t="shared" si="67"/>
        <v>0</v>
      </c>
      <c r="I172" s="90">
        <f t="shared" si="67"/>
        <v>0</v>
      </c>
      <c r="J172" s="90">
        <f t="shared" si="67"/>
        <v>0</v>
      </c>
      <c r="K172" s="90">
        <f t="shared" si="67"/>
        <v>0</v>
      </c>
    </row>
    <row r="173" spans="1:11" s="21" customFormat="1" ht="30.75" customHeight="1" hidden="1">
      <c r="A173" s="112" t="s">
        <v>298</v>
      </c>
      <c r="B173" s="61" t="s">
        <v>53</v>
      </c>
      <c r="C173" s="62" t="s">
        <v>478</v>
      </c>
      <c r="D173" s="63">
        <v>0</v>
      </c>
      <c r="E173" s="63">
        <f>D173</f>
        <v>0</v>
      </c>
      <c r="F173" s="63">
        <v>0</v>
      </c>
      <c r="G173" s="63">
        <v>0</v>
      </c>
      <c r="H173" s="63">
        <v>0</v>
      </c>
      <c r="I173" s="63">
        <f>SUM(F173:H173)</f>
        <v>0</v>
      </c>
      <c r="J173" s="63">
        <f>D173-F173</f>
        <v>0</v>
      </c>
      <c r="K173" s="63">
        <f>E173-F173</f>
        <v>0</v>
      </c>
    </row>
    <row r="174" spans="1:11" s="21" customFormat="1" ht="30.75" customHeight="1" hidden="1">
      <c r="A174" s="87" t="s">
        <v>345</v>
      </c>
      <c r="B174" s="61"/>
      <c r="C174" s="65" t="s">
        <v>344</v>
      </c>
      <c r="D174" s="107">
        <f>D154+D172</f>
        <v>0</v>
      </c>
      <c r="E174" s="107">
        <f>D174</f>
        <v>0</v>
      </c>
      <c r="F174" s="107">
        <f>F154+F172</f>
        <v>0</v>
      </c>
      <c r="G174" s="107">
        <f>G154+G172</f>
        <v>0</v>
      </c>
      <c r="H174" s="107">
        <f>H154+H172</f>
        <v>0</v>
      </c>
      <c r="I174" s="107">
        <f>I154+I172</f>
        <v>0</v>
      </c>
      <c r="J174" s="107">
        <f>D174-F174</f>
        <v>0</v>
      </c>
      <c r="K174" s="107">
        <f>E174-F174</f>
        <v>0</v>
      </c>
    </row>
    <row r="175" spans="1:11" s="59" customFormat="1" ht="95.25" customHeight="1" hidden="1">
      <c r="A175" s="123" t="s">
        <v>286</v>
      </c>
      <c r="B175" s="73"/>
      <c r="C175" s="92" t="s">
        <v>479</v>
      </c>
      <c r="D175" s="90">
        <f aca="true" t="shared" si="68" ref="D175:K175">SUM(D176:D176)</f>
        <v>0</v>
      </c>
      <c r="E175" s="90">
        <f t="shared" si="68"/>
        <v>0</v>
      </c>
      <c r="F175" s="116">
        <f>F176</f>
        <v>0</v>
      </c>
      <c r="G175" s="90">
        <f t="shared" si="68"/>
        <v>0</v>
      </c>
      <c r="H175" s="90">
        <f t="shared" si="68"/>
        <v>0</v>
      </c>
      <c r="I175" s="90">
        <f t="shared" si="68"/>
        <v>0</v>
      </c>
      <c r="J175" s="90">
        <f t="shared" si="68"/>
        <v>0</v>
      </c>
      <c r="K175" s="90">
        <f t="shared" si="68"/>
        <v>0</v>
      </c>
    </row>
    <row r="176" spans="1:11" s="59" customFormat="1" ht="31.5" customHeight="1" hidden="1">
      <c r="A176" s="112" t="s">
        <v>298</v>
      </c>
      <c r="B176" s="105" t="s">
        <v>53</v>
      </c>
      <c r="C176" s="62" t="s">
        <v>480</v>
      </c>
      <c r="D176" s="63">
        <v>0</v>
      </c>
      <c r="E176" s="63">
        <f>D176</f>
        <v>0</v>
      </c>
      <c r="F176" s="63">
        <v>0</v>
      </c>
      <c r="G176" s="63">
        <v>0</v>
      </c>
      <c r="H176" s="63">
        <v>0</v>
      </c>
      <c r="I176" s="63">
        <f>SUM(F176:H176)</f>
        <v>0</v>
      </c>
      <c r="J176" s="63">
        <f>D176-F176</f>
        <v>0</v>
      </c>
      <c r="K176" s="63">
        <f>E176-F176</f>
        <v>0</v>
      </c>
    </row>
    <row r="177" spans="1:11" s="59" customFormat="1" ht="31.5" customHeight="1" hidden="1">
      <c r="A177" s="118" t="s">
        <v>348</v>
      </c>
      <c r="B177" s="105"/>
      <c r="C177" s="65" t="s">
        <v>346</v>
      </c>
      <c r="D177" s="107">
        <f>D175</f>
        <v>0</v>
      </c>
      <c r="E177" s="107">
        <f>D177</f>
        <v>0</v>
      </c>
      <c r="F177" s="107">
        <f>F175</f>
        <v>0</v>
      </c>
      <c r="G177" s="107">
        <f>G175</f>
        <v>0</v>
      </c>
      <c r="H177" s="107">
        <f>H175</f>
        <v>0</v>
      </c>
      <c r="I177" s="107">
        <f>I175</f>
        <v>0</v>
      </c>
      <c r="J177" s="107">
        <f>D177-F177</f>
        <v>0</v>
      </c>
      <c r="K177" s="107">
        <f>E177-F177</f>
        <v>0</v>
      </c>
    </row>
    <row r="178" spans="1:11" s="21" customFormat="1" ht="32.25" customHeight="1" hidden="1">
      <c r="A178" s="139" t="s">
        <v>347</v>
      </c>
      <c r="B178" s="64"/>
      <c r="C178" s="89" t="s">
        <v>312</v>
      </c>
      <c r="D178" s="66">
        <f>D174+D177</f>
        <v>0</v>
      </c>
      <c r="E178" s="66">
        <f>D178</f>
        <v>0</v>
      </c>
      <c r="F178" s="66">
        <f>F174+F177</f>
        <v>0</v>
      </c>
      <c r="G178" s="66">
        <f>G174+G177</f>
        <v>0</v>
      </c>
      <c r="H178" s="66">
        <f>H174+H177</f>
        <v>0</v>
      </c>
      <c r="I178" s="66">
        <f>I174+I177</f>
        <v>0</v>
      </c>
      <c r="J178" s="66">
        <f>D178-F178</f>
        <v>0</v>
      </c>
      <c r="K178" s="66">
        <f>E178-F178</f>
        <v>0</v>
      </c>
    </row>
    <row r="179" spans="1:11" s="59" customFormat="1" ht="60.75" customHeight="1">
      <c r="A179" s="123" t="s">
        <v>287</v>
      </c>
      <c r="B179" s="73"/>
      <c r="C179" s="92" t="s">
        <v>531</v>
      </c>
      <c r="D179" s="90">
        <f>SUM(D180:D180)</f>
        <v>109415</v>
      </c>
      <c r="E179" s="90">
        <f aca="true" t="shared" si="69" ref="E179:K179">SUM(E180:E180)</f>
        <v>109415</v>
      </c>
      <c r="F179" s="90">
        <f>F180</f>
        <v>36471.44</v>
      </c>
      <c r="G179" s="90">
        <f t="shared" si="69"/>
        <v>0</v>
      </c>
      <c r="H179" s="90">
        <f t="shared" si="69"/>
        <v>0</v>
      </c>
      <c r="I179" s="90">
        <f t="shared" si="69"/>
        <v>36471.44</v>
      </c>
      <c r="J179" s="90">
        <f t="shared" si="69"/>
        <v>72943.56</v>
      </c>
      <c r="K179" s="90">
        <f t="shared" si="69"/>
        <v>72943.56</v>
      </c>
    </row>
    <row r="180" spans="1:11" s="21" customFormat="1" ht="43.5" customHeight="1">
      <c r="A180" s="98" t="s">
        <v>253</v>
      </c>
      <c r="B180" s="61" t="s">
        <v>53</v>
      </c>
      <c r="C180" s="62" t="s">
        <v>524</v>
      </c>
      <c r="D180" s="63">
        <f>77900+31515</f>
        <v>109415</v>
      </c>
      <c r="E180" s="63">
        <f>D180</f>
        <v>109415</v>
      </c>
      <c r="F180" s="63">
        <f>9117.86+9117.86+9117.86+9117.86</f>
        <v>36471.44</v>
      </c>
      <c r="G180" s="63">
        <v>0</v>
      </c>
      <c r="H180" s="63">
        <v>0</v>
      </c>
      <c r="I180" s="63">
        <f>SUM(F180:H180)</f>
        <v>36471.44</v>
      </c>
      <c r="J180" s="63">
        <f>D180-F180</f>
        <v>72943.56</v>
      </c>
      <c r="K180" s="63">
        <f>E180-F180</f>
        <v>72943.56</v>
      </c>
    </row>
    <row r="181" spans="1:11" s="21" customFormat="1" ht="16.5" customHeight="1">
      <c r="A181" s="87" t="s">
        <v>123</v>
      </c>
      <c r="B181" s="64"/>
      <c r="C181" s="65" t="s">
        <v>106</v>
      </c>
      <c r="D181" s="66">
        <f aca="true" t="shared" si="70" ref="D181:K181">D180</f>
        <v>109415</v>
      </c>
      <c r="E181" s="66">
        <f t="shared" si="70"/>
        <v>109415</v>
      </c>
      <c r="F181" s="66">
        <f>F179</f>
        <v>36471.44</v>
      </c>
      <c r="G181" s="66">
        <f t="shared" si="70"/>
        <v>0</v>
      </c>
      <c r="H181" s="66">
        <f t="shared" si="70"/>
        <v>0</v>
      </c>
      <c r="I181" s="66">
        <f t="shared" si="70"/>
        <v>36471.44</v>
      </c>
      <c r="J181" s="66">
        <f t="shared" si="70"/>
        <v>72943.56</v>
      </c>
      <c r="K181" s="66">
        <f t="shared" si="70"/>
        <v>72943.56</v>
      </c>
    </row>
    <row r="182" spans="1:11" s="59" customFormat="1" ht="17.25" customHeight="1" hidden="1">
      <c r="A182" s="93" t="s">
        <v>163</v>
      </c>
      <c r="B182" s="73"/>
      <c r="C182" s="92" t="s">
        <v>167</v>
      </c>
      <c r="D182" s="90">
        <f>SUM(D183:D183)</f>
        <v>0</v>
      </c>
      <c r="E182" s="90">
        <f aca="true" t="shared" si="71" ref="E182:K182">SUM(E183:E183)</f>
        <v>0</v>
      </c>
      <c r="F182" s="90">
        <f t="shared" si="71"/>
        <v>0</v>
      </c>
      <c r="G182" s="90">
        <f t="shared" si="71"/>
        <v>0</v>
      </c>
      <c r="H182" s="90">
        <f t="shared" si="71"/>
        <v>0</v>
      </c>
      <c r="I182" s="90">
        <f t="shared" si="71"/>
        <v>0</v>
      </c>
      <c r="J182" s="90">
        <f t="shared" si="71"/>
        <v>0</v>
      </c>
      <c r="K182" s="90">
        <f t="shared" si="71"/>
        <v>0</v>
      </c>
    </row>
    <row r="183" spans="1:11" s="21" customFormat="1" ht="19.5" customHeight="1" hidden="1">
      <c r="A183" s="60" t="s">
        <v>164</v>
      </c>
      <c r="B183" s="61" t="s">
        <v>53</v>
      </c>
      <c r="C183" s="62" t="s">
        <v>168</v>
      </c>
      <c r="D183" s="63"/>
      <c r="E183" s="63">
        <f>D183</f>
        <v>0</v>
      </c>
      <c r="F183" s="63"/>
      <c r="G183" s="63">
        <v>0</v>
      </c>
      <c r="H183" s="63">
        <v>0</v>
      </c>
      <c r="I183" s="63">
        <f>SUM(F183:H183)</f>
        <v>0</v>
      </c>
      <c r="J183" s="63">
        <f>D183-F183</f>
        <v>0</v>
      </c>
      <c r="K183" s="63">
        <f>E183-F183</f>
        <v>0</v>
      </c>
    </row>
    <row r="184" spans="1:11" s="21" customFormat="1" ht="19.5" customHeight="1" hidden="1">
      <c r="A184" s="87" t="s">
        <v>177</v>
      </c>
      <c r="B184" s="64"/>
      <c r="C184" s="65" t="s">
        <v>165</v>
      </c>
      <c r="D184" s="66">
        <f aca="true" t="shared" si="72" ref="D184:K184">D183</f>
        <v>0</v>
      </c>
      <c r="E184" s="66">
        <f t="shared" si="72"/>
        <v>0</v>
      </c>
      <c r="F184" s="66">
        <f t="shared" si="72"/>
        <v>0</v>
      </c>
      <c r="G184" s="66">
        <f t="shared" si="72"/>
        <v>0</v>
      </c>
      <c r="H184" s="66">
        <f t="shared" si="72"/>
        <v>0</v>
      </c>
      <c r="I184" s="66">
        <f t="shared" si="72"/>
        <v>0</v>
      </c>
      <c r="J184" s="66">
        <f t="shared" si="72"/>
        <v>0</v>
      </c>
      <c r="K184" s="66">
        <f t="shared" si="72"/>
        <v>0</v>
      </c>
    </row>
    <row r="185" spans="1:11" s="59" customFormat="1" ht="66.75" customHeight="1" hidden="1">
      <c r="A185" s="91" t="s">
        <v>141</v>
      </c>
      <c r="B185" s="73"/>
      <c r="C185" s="92" t="s">
        <v>142</v>
      </c>
      <c r="D185" s="90">
        <f>SUM(D186:D186)</f>
        <v>0</v>
      </c>
      <c r="E185" s="90">
        <f aca="true" t="shared" si="73" ref="E185:K185">SUM(E186:E186)</f>
        <v>0</v>
      </c>
      <c r="F185" s="90">
        <f t="shared" si="73"/>
        <v>0</v>
      </c>
      <c r="G185" s="90">
        <f t="shared" si="73"/>
        <v>0</v>
      </c>
      <c r="H185" s="90">
        <f t="shared" si="73"/>
        <v>0</v>
      </c>
      <c r="I185" s="90">
        <f t="shared" si="73"/>
        <v>0</v>
      </c>
      <c r="J185" s="90">
        <f t="shared" si="73"/>
        <v>0</v>
      </c>
      <c r="K185" s="90">
        <f t="shared" si="73"/>
        <v>0</v>
      </c>
    </row>
    <row r="186" spans="1:11" s="21" customFormat="1" ht="30" customHeight="1" hidden="1">
      <c r="A186" s="60" t="s">
        <v>65</v>
      </c>
      <c r="B186" s="61" t="s">
        <v>53</v>
      </c>
      <c r="C186" s="100" t="s">
        <v>155</v>
      </c>
      <c r="D186" s="63"/>
      <c r="E186" s="63">
        <f>D186</f>
        <v>0</v>
      </c>
      <c r="F186" s="63"/>
      <c r="G186" s="63">
        <v>0</v>
      </c>
      <c r="H186" s="63">
        <v>0</v>
      </c>
      <c r="I186" s="63">
        <f>SUM(F186:H186)</f>
        <v>0</v>
      </c>
      <c r="J186" s="63">
        <f aca="true" t="shared" si="74" ref="J186:J197">D186-F186</f>
        <v>0</v>
      </c>
      <c r="K186" s="63">
        <f>E186-F186</f>
        <v>0</v>
      </c>
    </row>
    <row r="187" spans="1:11" s="59" customFormat="1" ht="84" customHeight="1" hidden="1">
      <c r="A187" s="91" t="s">
        <v>143</v>
      </c>
      <c r="B187" s="73"/>
      <c r="C187" s="102" t="s">
        <v>144</v>
      </c>
      <c r="D187" s="90">
        <f>SUM(D188:D188)</f>
        <v>0</v>
      </c>
      <c r="E187" s="90">
        <f aca="true" t="shared" si="75" ref="E187:K187">SUM(E188:E188)</f>
        <v>0</v>
      </c>
      <c r="F187" s="90">
        <f t="shared" si="75"/>
        <v>0</v>
      </c>
      <c r="G187" s="90">
        <f t="shared" si="75"/>
        <v>0</v>
      </c>
      <c r="H187" s="90">
        <f t="shared" si="75"/>
        <v>0</v>
      </c>
      <c r="I187" s="90">
        <f t="shared" si="75"/>
        <v>0</v>
      </c>
      <c r="J187" s="90">
        <f t="shared" si="75"/>
        <v>0</v>
      </c>
      <c r="K187" s="90">
        <f t="shared" si="75"/>
        <v>0</v>
      </c>
    </row>
    <row r="188" spans="1:11" s="21" customFormat="1" ht="30" customHeight="1" hidden="1">
      <c r="A188" s="60" t="s">
        <v>65</v>
      </c>
      <c r="B188" s="61" t="s">
        <v>53</v>
      </c>
      <c r="C188" s="100" t="s">
        <v>156</v>
      </c>
      <c r="D188" s="63"/>
      <c r="E188" s="63">
        <f>D188</f>
        <v>0</v>
      </c>
      <c r="F188" s="63"/>
      <c r="G188" s="63">
        <v>0</v>
      </c>
      <c r="H188" s="63">
        <v>0</v>
      </c>
      <c r="I188" s="63">
        <f>SUM(F188:H188)</f>
        <v>0</v>
      </c>
      <c r="J188" s="63">
        <f t="shared" si="74"/>
        <v>0</v>
      </c>
      <c r="K188" s="63">
        <f>E188-F188</f>
        <v>0</v>
      </c>
    </row>
    <row r="189" spans="1:11" s="59" customFormat="1" ht="58.5" customHeight="1" hidden="1">
      <c r="A189" s="91" t="s">
        <v>145</v>
      </c>
      <c r="B189" s="73"/>
      <c r="C189" s="102" t="s">
        <v>146</v>
      </c>
      <c r="D189" s="90">
        <f>SUM(D190:D190)</f>
        <v>0</v>
      </c>
      <c r="E189" s="90">
        <f aca="true" t="shared" si="76" ref="E189:K189">SUM(E190:E190)</f>
        <v>0</v>
      </c>
      <c r="F189" s="90">
        <f t="shared" si="76"/>
        <v>0</v>
      </c>
      <c r="G189" s="90">
        <f t="shared" si="76"/>
        <v>0</v>
      </c>
      <c r="H189" s="90">
        <f t="shared" si="76"/>
        <v>0</v>
      </c>
      <c r="I189" s="90">
        <f t="shared" si="76"/>
        <v>0</v>
      </c>
      <c r="J189" s="90">
        <f t="shared" si="76"/>
        <v>0</v>
      </c>
      <c r="K189" s="90">
        <f t="shared" si="76"/>
        <v>0</v>
      </c>
    </row>
    <row r="190" spans="1:11" s="21" customFormat="1" ht="30" customHeight="1" hidden="1">
      <c r="A190" s="60" t="s">
        <v>65</v>
      </c>
      <c r="B190" s="61" t="s">
        <v>53</v>
      </c>
      <c r="C190" s="100" t="s">
        <v>157</v>
      </c>
      <c r="D190" s="63"/>
      <c r="E190" s="63">
        <f>D190</f>
        <v>0</v>
      </c>
      <c r="F190" s="63"/>
      <c r="G190" s="63">
        <v>0</v>
      </c>
      <c r="H190" s="63">
        <v>0</v>
      </c>
      <c r="I190" s="63">
        <f>SUM(F190:H190)</f>
        <v>0</v>
      </c>
      <c r="J190" s="63">
        <f t="shared" si="74"/>
        <v>0</v>
      </c>
      <c r="K190" s="63">
        <f>E190-F190</f>
        <v>0</v>
      </c>
    </row>
    <row r="191" spans="1:11" s="21" customFormat="1" ht="31.5">
      <c r="A191" s="139" t="s">
        <v>359</v>
      </c>
      <c r="B191" s="139"/>
      <c r="C191" s="89" t="s">
        <v>349</v>
      </c>
      <c r="D191" s="66">
        <f>D181</f>
        <v>109415</v>
      </c>
      <c r="E191" s="66">
        <f>D191</f>
        <v>109415</v>
      </c>
      <c r="F191" s="66">
        <f>F181</f>
        <v>36471.44</v>
      </c>
      <c r="G191" s="66">
        <f>G181</f>
        <v>0</v>
      </c>
      <c r="H191" s="66">
        <f>H181</f>
        <v>0</v>
      </c>
      <c r="I191" s="66">
        <f>I181</f>
        <v>36471.44</v>
      </c>
      <c r="J191" s="66">
        <f>D191-F191</f>
        <v>72943.56</v>
      </c>
      <c r="K191" s="66">
        <f>E191-F191</f>
        <v>72943.56</v>
      </c>
    </row>
    <row r="192" spans="1:11" s="59" customFormat="1" ht="75.75" customHeight="1">
      <c r="A192" s="123" t="s">
        <v>371</v>
      </c>
      <c r="B192" s="61"/>
      <c r="C192" s="92" t="s">
        <v>530</v>
      </c>
      <c r="D192" s="90">
        <f>SUM(D193:D193)</f>
        <v>2000</v>
      </c>
      <c r="E192" s="90">
        <f aca="true" t="shared" si="77" ref="E192:K192">SUM(E193:E193)</f>
        <v>2000</v>
      </c>
      <c r="F192" s="90">
        <f>F193</f>
        <v>0</v>
      </c>
      <c r="G192" s="90">
        <f t="shared" si="77"/>
        <v>0</v>
      </c>
      <c r="H192" s="90">
        <f t="shared" si="77"/>
        <v>0</v>
      </c>
      <c r="I192" s="90">
        <f t="shared" si="77"/>
        <v>0</v>
      </c>
      <c r="J192" s="90">
        <f t="shared" si="77"/>
        <v>2000</v>
      </c>
      <c r="K192" s="90">
        <f t="shared" si="77"/>
        <v>2000</v>
      </c>
    </row>
    <row r="193" spans="1:11" s="21" customFormat="1" ht="27" customHeight="1">
      <c r="A193" s="112" t="s">
        <v>298</v>
      </c>
      <c r="B193" s="61" t="s">
        <v>53</v>
      </c>
      <c r="C193" s="62" t="s">
        <v>525</v>
      </c>
      <c r="D193" s="63">
        <v>2000</v>
      </c>
      <c r="E193" s="63">
        <f>D193</f>
        <v>2000</v>
      </c>
      <c r="F193" s="63">
        <v>0</v>
      </c>
      <c r="G193" s="63">
        <v>0</v>
      </c>
      <c r="H193" s="63">
        <v>0</v>
      </c>
      <c r="I193" s="63">
        <f>SUM(F193:H193)</f>
        <v>0</v>
      </c>
      <c r="J193" s="63">
        <f t="shared" si="74"/>
        <v>2000</v>
      </c>
      <c r="K193" s="63">
        <f>E193-F193</f>
        <v>2000</v>
      </c>
    </row>
    <row r="194" spans="1:11" s="59" customFormat="1" ht="40.5" customHeight="1" hidden="1">
      <c r="A194" s="129" t="s">
        <v>147</v>
      </c>
      <c r="B194" s="73"/>
      <c r="C194" s="92" t="s">
        <v>148</v>
      </c>
      <c r="D194" s="90">
        <f aca="true" t="shared" si="78" ref="D194:K194">SUM(D195:D195)</f>
        <v>0</v>
      </c>
      <c r="E194" s="90">
        <f t="shared" si="78"/>
        <v>0</v>
      </c>
      <c r="F194" s="90">
        <f t="shared" si="78"/>
        <v>0</v>
      </c>
      <c r="G194" s="90">
        <f t="shared" si="78"/>
        <v>0</v>
      </c>
      <c r="H194" s="90">
        <f t="shared" si="78"/>
        <v>0</v>
      </c>
      <c r="I194" s="90">
        <f t="shared" si="78"/>
        <v>0</v>
      </c>
      <c r="J194" s="90">
        <f t="shared" si="78"/>
        <v>0</v>
      </c>
      <c r="K194" s="90">
        <f t="shared" si="78"/>
        <v>0</v>
      </c>
    </row>
    <row r="195" spans="1:11" s="21" customFormat="1" ht="30" customHeight="1" hidden="1">
      <c r="A195" s="60" t="s">
        <v>65</v>
      </c>
      <c r="B195" s="61" t="s">
        <v>53</v>
      </c>
      <c r="C195" s="62" t="s">
        <v>158</v>
      </c>
      <c r="D195" s="63"/>
      <c r="E195" s="63">
        <f>D195</f>
        <v>0</v>
      </c>
      <c r="F195" s="63"/>
      <c r="G195" s="63">
        <v>0</v>
      </c>
      <c r="H195" s="63">
        <v>0</v>
      </c>
      <c r="I195" s="63">
        <f>SUM(F195:H195)</f>
        <v>0</v>
      </c>
      <c r="J195" s="63">
        <f t="shared" si="74"/>
        <v>0</v>
      </c>
      <c r="K195" s="63">
        <f>E195-F195</f>
        <v>0</v>
      </c>
    </row>
    <row r="196" spans="1:11" s="59" customFormat="1" ht="58.5" customHeight="1" hidden="1">
      <c r="A196" s="129" t="s">
        <v>149</v>
      </c>
      <c r="B196" s="73"/>
      <c r="C196" s="92" t="s">
        <v>150</v>
      </c>
      <c r="D196" s="90">
        <f>SUM(D197:D197)</f>
        <v>0</v>
      </c>
      <c r="E196" s="90">
        <f aca="true" t="shared" si="79" ref="E196:K196">SUM(E197:E197)</f>
        <v>0</v>
      </c>
      <c r="F196" s="90">
        <f t="shared" si="79"/>
        <v>0</v>
      </c>
      <c r="G196" s="90">
        <f t="shared" si="79"/>
        <v>0</v>
      </c>
      <c r="H196" s="90">
        <f t="shared" si="79"/>
        <v>0</v>
      </c>
      <c r="I196" s="90">
        <f t="shared" si="79"/>
        <v>0</v>
      </c>
      <c r="J196" s="90">
        <f t="shared" si="79"/>
        <v>0</v>
      </c>
      <c r="K196" s="90">
        <f t="shared" si="79"/>
        <v>0</v>
      </c>
    </row>
    <row r="197" spans="1:11" s="21" customFormat="1" ht="30" customHeight="1" hidden="1">
      <c r="A197" s="60" t="s">
        <v>65</v>
      </c>
      <c r="B197" s="61" t="s">
        <v>53</v>
      </c>
      <c r="C197" s="62" t="s">
        <v>159</v>
      </c>
      <c r="D197" s="63"/>
      <c r="E197" s="63">
        <f>D197</f>
        <v>0</v>
      </c>
      <c r="F197" s="63">
        <v>0</v>
      </c>
      <c r="G197" s="63">
        <v>0</v>
      </c>
      <c r="H197" s="63">
        <v>0</v>
      </c>
      <c r="I197" s="63">
        <f>SUM(F197:H197)</f>
        <v>0</v>
      </c>
      <c r="J197" s="63">
        <f t="shared" si="74"/>
        <v>0</v>
      </c>
      <c r="K197" s="63">
        <f>E197-F197</f>
        <v>0</v>
      </c>
    </row>
    <row r="198" spans="1:11" s="21" customFormat="1" ht="29.25" customHeight="1">
      <c r="A198" s="118" t="s">
        <v>299</v>
      </c>
      <c r="B198" s="64"/>
      <c r="C198" s="65" t="s">
        <v>300</v>
      </c>
      <c r="D198" s="66">
        <f>D185+D187+D189+D192+D194+D196</f>
        <v>2000</v>
      </c>
      <c r="E198" s="66">
        <f aca="true" t="shared" si="80" ref="E198:K198">E185+E187+E189++E192+E194+E196</f>
        <v>2000</v>
      </c>
      <c r="F198" s="66">
        <f>F192</f>
        <v>0</v>
      </c>
      <c r="G198" s="66">
        <f t="shared" si="80"/>
        <v>0</v>
      </c>
      <c r="H198" s="66">
        <f t="shared" si="80"/>
        <v>0</v>
      </c>
      <c r="I198" s="66">
        <f t="shared" si="80"/>
        <v>0</v>
      </c>
      <c r="J198" s="66">
        <f t="shared" si="80"/>
        <v>2000</v>
      </c>
      <c r="K198" s="66">
        <f t="shared" si="80"/>
        <v>2000</v>
      </c>
    </row>
    <row r="199" spans="1:11" s="21" customFormat="1" ht="29.25" customHeight="1">
      <c r="A199" s="139" t="s">
        <v>358</v>
      </c>
      <c r="B199" s="64"/>
      <c r="C199" s="89" t="s">
        <v>350</v>
      </c>
      <c r="D199" s="66">
        <f>D198</f>
        <v>2000</v>
      </c>
      <c r="E199" s="66">
        <f>D199</f>
        <v>2000</v>
      </c>
      <c r="F199" s="66">
        <f>F198</f>
        <v>0</v>
      </c>
      <c r="G199" s="66">
        <f>G198</f>
        <v>0</v>
      </c>
      <c r="H199" s="66">
        <f>H198</f>
        <v>0</v>
      </c>
      <c r="I199" s="66">
        <f>I198</f>
        <v>0</v>
      </c>
      <c r="J199" s="66">
        <f>D199-F199</f>
        <v>2000</v>
      </c>
      <c r="K199" s="66">
        <f>E199-F199</f>
        <v>2000</v>
      </c>
    </row>
    <row r="200" spans="1:11" s="21" customFormat="1" ht="10.5" customHeight="1">
      <c r="A200" s="101"/>
      <c r="B200" s="64"/>
      <c r="C200" s="65"/>
      <c r="D200" s="66"/>
      <c r="E200" s="66"/>
      <c r="F200" s="66"/>
      <c r="G200" s="66"/>
      <c r="H200" s="66"/>
      <c r="I200" s="66"/>
      <c r="J200" s="66"/>
      <c r="K200" s="66"/>
    </row>
    <row r="201" spans="1:11" s="21" customFormat="1" ht="15" customHeight="1">
      <c r="A201" s="60" t="s">
        <v>66</v>
      </c>
      <c r="B201" s="61" t="s">
        <v>67</v>
      </c>
      <c r="C201" s="62" t="s">
        <v>68</v>
      </c>
      <c r="D201" s="63">
        <f>'1. Доходы бюджета (1.12)'!D16-'2. Расходы бюджета (1.12)'!D7</f>
        <v>-19211.919999999925</v>
      </c>
      <c r="E201" s="63">
        <f>'1. Доходы бюджета (1.12)'!D16-'2. Расходы бюджета (1.12)'!E7</f>
        <v>-19211.919999999925</v>
      </c>
      <c r="F201" s="63">
        <f>'1. Доходы бюджета (1.12)'!E16-'2. Расходы бюджета (1.12)'!F7</f>
        <v>2799.410000000149</v>
      </c>
      <c r="G201" s="63">
        <f>'1. Доходы бюджета (1.12)'!F16-'2. Расходы бюджета (1.12)'!G7</f>
        <v>0</v>
      </c>
      <c r="H201" s="63">
        <f>'1. Доходы бюджета (1.12)'!G16-'2. Расходы бюджета (1.12)'!H7</f>
        <v>0</v>
      </c>
      <c r="I201" s="63">
        <f>'1. Доходы бюджета (1.12)'!H16-'2. Расходы бюджета (1.12)'!I7</f>
        <v>5029.410000000149</v>
      </c>
      <c r="J201" s="63">
        <f>D201-F201</f>
        <v>-22011.330000000075</v>
      </c>
      <c r="K201" s="63">
        <f>E201-F201</f>
        <v>-22011.330000000075</v>
      </c>
    </row>
    <row r="202" spans="3:9" s="20" customFormat="1" ht="6" customHeight="1">
      <c r="C202" s="29"/>
      <c r="D202" s="29"/>
      <c r="E202" s="29"/>
      <c r="F202" s="29"/>
      <c r="G202" s="29"/>
      <c r="H202" s="30"/>
      <c r="I202" s="29"/>
    </row>
    <row r="203" spans="3:9" s="20" customFormat="1" ht="9" customHeight="1" hidden="1">
      <c r="C203" s="29"/>
      <c r="D203" s="29"/>
      <c r="E203" s="29"/>
      <c r="F203" s="29"/>
      <c r="G203" s="29"/>
      <c r="H203" s="30"/>
      <c r="I203" s="29"/>
    </row>
    <row r="204" spans="3:9" s="20" customFormat="1" ht="4.5" customHeight="1">
      <c r="C204" s="29"/>
      <c r="D204" s="29"/>
      <c r="E204" s="29"/>
      <c r="F204" s="29"/>
      <c r="G204" s="29"/>
      <c r="H204" s="30"/>
      <c r="I204" s="29"/>
    </row>
    <row r="205" spans="1:11" ht="47.25" customHeight="1">
      <c r="A205" s="284"/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</row>
  </sheetData>
  <sheetProtection/>
  <mergeCells count="17">
    <mergeCell ref="E4:E5"/>
    <mergeCell ref="D205:F205"/>
    <mergeCell ref="G205:I205"/>
    <mergeCell ref="J205:K205"/>
    <mergeCell ref="I4:I5"/>
    <mergeCell ref="J4:J5"/>
    <mergeCell ref="K4:K5"/>
    <mergeCell ref="D2:E2"/>
    <mergeCell ref="A205:C205"/>
    <mergeCell ref="A1:K1"/>
    <mergeCell ref="A4:A5"/>
    <mergeCell ref="B4:B5"/>
    <mergeCell ref="C4:C5"/>
    <mergeCell ref="D4:D5"/>
    <mergeCell ref="F4:F5"/>
    <mergeCell ref="G4:G5"/>
    <mergeCell ref="H4:H5"/>
  </mergeCells>
  <printOptions horizontalCentered="1"/>
  <pageMargins left="0" right="0" top="0.7874015748031497" bottom="0" header="0.3937007874015748" footer="0.5118110236220472"/>
  <pageSetup fitToHeight="2" fitToWidth="3" horizontalDpi="300" verticalDpi="300" orientation="landscape" paperSize="9" scale="65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tabSelected="1" zoomScalePageLayoutView="0" workbookViewId="0" topLeftCell="A7">
      <selection activeCell="D16" sqref="D16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291" t="s">
        <v>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84" t="str">
        <f>'1. Доходы бюджета (1.12)'!C4</f>
        <v>на 01.07.2018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294" t="s">
        <v>4</v>
      </c>
      <c r="B6" s="296" t="s">
        <v>5</v>
      </c>
      <c r="C6" s="296" t="s">
        <v>28</v>
      </c>
      <c r="D6" s="297" t="s">
        <v>29</v>
      </c>
      <c r="E6" s="297"/>
      <c r="F6" s="297"/>
      <c r="G6" s="297"/>
      <c r="H6" s="297"/>
      <c r="I6" s="297"/>
      <c r="J6" s="297"/>
      <c r="K6" s="297"/>
      <c r="L6" s="298" t="s">
        <v>15</v>
      </c>
      <c r="M6" s="298"/>
      <c r="N6" s="298"/>
      <c r="O6" s="298"/>
      <c r="P6" s="298"/>
      <c r="Q6" s="298"/>
      <c r="R6" s="298"/>
      <c r="S6" s="298"/>
    </row>
    <row r="7" spans="1:19" s="14" customFormat="1" ht="107.25" customHeight="1">
      <c r="A7" s="295"/>
      <c r="B7" s="279"/>
      <c r="C7" s="279"/>
      <c r="D7" s="50" t="s">
        <v>82</v>
      </c>
      <c r="E7" s="50" t="s">
        <v>83</v>
      </c>
      <c r="F7" s="50" t="s">
        <v>84</v>
      </c>
      <c r="G7" s="51" t="s">
        <v>85</v>
      </c>
      <c r="H7" s="51" t="s">
        <v>86</v>
      </c>
      <c r="I7" s="51" t="s">
        <v>87</v>
      </c>
      <c r="J7" s="51" t="s">
        <v>88</v>
      </c>
      <c r="K7" s="50" t="s">
        <v>89</v>
      </c>
      <c r="L7" s="50" t="s">
        <v>82</v>
      </c>
      <c r="M7" s="50" t="s">
        <v>90</v>
      </c>
      <c r="N7" s="50" t="s">
        <v>84</v>
      </c>
      <c r="O7" s="51" t="s">
        <v>85</v>
      </c>
      <c r="P7" s="51" t="s">
        <v>86</v>
      </c>
      <c r="Q7" s="51" t="s">
        <v>87</v>
      </c>
      <c r="R7" s="51" t="s">
        <v>88</v>
      </c>
      <c r="S7" s="50" t="s">
        <v>89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91</v>
      </c>
      <c r="B9" s="54" t="s">
        <v>69</v>
      </c>
      <c r="C9" s="55" t="s">
        <v>70</v>
      </c>
      <c r="D9" s="56">
        <f>D12</f>
        <v>19211.919999999925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-2799.410000000149</v>
      </c>
      <c r="M9" s="56">
        <f aca="true" t="shared" si="1" ref="M9:R9">M12</f>
        <v>-2799.410000000149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-2799.410000000149</v>
      </c>
      <c r="S9" s="56">
        <v>0</v>
      </c>
    </row>
    <row r="10" spans="1:19" s="20" customFormat="1" ht="36.75">
      <c r="A10" s="53" t="s">
        <v>71</v>
      </c>
      <c r="B10" s="54" t="s">
        <v>72</v>
      </c>
      <c r="C10" s="55" t="s">
        <v>73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74</v>
      </c>
      <c r="B11" s="54" t="s">
        <v>75</v>
      </c>
      <c r="C11" s="55" t="s">
        <v>76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92</v>
      </c>
      <c r="B12" s="54" t="s">
        <v>77</v>
      </c>
      <c r="C12" s="55" t="s">
        <v>78</v>
      </c>
      <c r="D12" s="56">
        <f>D13+D15</f>
        <v>19211.919999999925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 t="shared" si="2"/>
        <v>-2799.410000000149</v>
      </c>
      <c r="M12" s="56">
        <f t="shared" si="2"/>
        <v>-2799.410000000149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-2799.410000000149</v>
      </c>
      <c r="S12" s="56">
        <v>0</v>
      </c>
    </row>
    <row r="13" spans="1:19" s="20" customFormat="1" ht="36.75">
      <c r="A13" s="53" t="s">
        <v>93</v>
      </c>
      <c r="B13" s="54" t="s">
        <v>79</v>
      </c>
      <c r="C13" s="55" t="s">
        <v>94</v>
      </c>
      <c r="D13" s="56">
        <f>D14</f>
        <v>-3170655.1799999997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-904214.03</v>
      </c>
      <c r="M13" s="56">
        <f t="shared" si="3"/>
        <v>-904214.03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-904214.03</v>
      </c>
      <c r="S13" s="56">
        <v>0</v>
      </c>
    </row>
    <row r="14" spans="1:19" s="21" customFormat="1" ht="20.25" customHeight="1">
      <c r="A14" s="299">
        <v>8020100020000510</v>
      </c>
      <c r="B14" s="300"/>
      <c r="C14" s="57" t="s">
        <v>95</v>
      </c>
      <c r="D14" s="58">
        <f>-'1. Доходы бюджета (1.12)'!D16</f>
        <v>-3170655.1799999997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6">
        <f>-'1. Доходы бюджета (1.12)'!E16</f>
        <v>-904214.03</v>
      </c>
      <c r="M14" s="56">
        <f>-'1. Доходы бюджета (1.12)'!E16</f>
        <v>-904214.03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-904214.03</v>
      </c>
      <c r="S14" s="58">
        <v>0</v>
      </c>
    </row>
    <row r="15" spans="1:19" s="20" customFormat="1" ht="36.75">
      <c r="A15" s="53" t="s">
        <v>96</v>
      </c>
      <c r="B15" s="54" t="s">
        <v>80</v>
      </c>
      <c r="C15" s="55" t="s">
        <v>97</v>
      </c>
      <c r="D15" s="56">
        <f>D16</f>
        <v>3189867.0999999996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56">
        <f t="shared" si="4"/>
        <v>901414.6199999999</v>
      </c>
      <c r="M15" s="56">
        <f aca="true" t="shared" si="5" ref="M15:R15">M16</f>
        <v>901414.6199999999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901414.6199999999</v>
      </c>
      <c r="S15" s="56">
        <v>0</v>
      </c>
    </row>
    <row r="16" spans="1:19" s="21" customFormat="1" ht="20.25" customHeight="1">
      <c r="A16" s="299">
        <v>4.0802010002E+17</v>
      </c>
      <c r="B16" s="300"/>
      <c r="C16" s="57" t="s">
        <v>98</v>
      </c>
      <c r="D16" s="58">
        <f>'2. Расходы бюджета (1.12)'!D7</f>
        <v>3189867.0999999996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901414.6199999999</v>
      </c>
      <c r="M16" s="58">
        <f>'2. Расходы бюджета (1.12)'!F7</f>
        <v>901414.6199999999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901414.6199999999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284" t="s">
        <v>379</v>
      </c>
      <c r="B22" s="284"/>
      <c r="C22" s="284"/>
      <c r="D22" s="284"/>
      <c r="E22" s="284"/>
      <c r="F22" s="284"/>
      <c r="G22" s="284"/>
      <c r="H22" s="284"/>
      <c r="I22" s="284"/>
      <c r="J22" s="83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99</v>
      </c>
    </row>
  </sheetData>
  <sheetProtection/>
  <mergeCells count="11"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  <mergeCell ref="L6:S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300" verticalDpi="3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zoomScalePageLayoutView="0" workbookViewId="0" topLeftCell="A31">
      <selection activeCell="AQ37" sqref="AQ37"/>
    </sheetView>
  </sheetViews>
  <sheetFormatPr defaultColWidth="9.00390625" defaultRowHeight="12.75"/>
  <cols>
    <col min="1" max="1" width="29.00390625" style="221" customWidth="1"/>
    <col min="2" max="2" width="7.375" style="154" customWidth="1"/>
    <col min="3" max="3" width="6.25390625" style="154" customWidth="1"/>
    <col min="4" max="4" width="6.875" style="154" customWidth="1"/>
    <col min="5" max="5" width="19.125" style="149" customWidth="1"/>
    <col min="6" max="6" width="14.25390625" style="149" customWidth="1"/>
    <col min="7" max="7" width="12.125" style="149" customWidth="1"/>
    <col min="8" max="8" width="6.375" style="149" hidden="1" customWidth="1"/>
    <col min="9" max="11" width="6.625" style="149" hidden="1" customWidth="1"/>
    <col min="12" max="12" width="7.75390625" style="149" hidden="1" customWidth="1"/>
    <col min="13" max="18" width="6.625" style="149" hidden="1" customWidth="1"/>
    <col min="19" max="19" width="8.00390625" style="149" hidden="1" customWidth="1"/>
    <col min="20" max="22" width="6.625" style="149" hidden="1" customWidth="1"/>
    <col min="23" max="23" width="14.625" style="149" customWidth="1"/>
    <col min="24" max="24" width="13.375" style="149" customWidth="1"/>
    <col min="25" max="25" width="14.25390625" style="149" customWidth="1"/>
    <col min="26" max="26" width="13.125" style="149" customWidth="1"/>
    <col min="27" max="27" width="13.625" style="149" customWidth="1"/>
    <col min="28" max="28" width="7.25390625" style="149" customWidth="1"/>
    <col min="29" max="30" width="7.75390625" style="149" hidden="1" customWidth="1"/>
    <col min="31" max="33" width="6.625" style="149" hidden="1" customWidth="1"/>
    <col min="34" max="38" width="7.125" style="149" hidden="1" customWidth="1"/>
    <col min="39" max="42" width="6.625" style="149" hidden="1" customWidth="1"/>
    <col min="43" max="43" width="20.75390625" style="149" customWidth="1"/>
    <col min="44" max="44" width="13.75390625" style="149" customWidth="1"/>
  </cols>
  <sheetData>
    <row r="1" spans="1:44" ht="15.75" customHeight="1">
      <c r="A1" s="147"/>
      <c r="B1" s="332"/>
      <c r="C1" s="148"/>
      <c r="D1" s="148"/>
      <c r="E1" s="148"/>
      <c r="F1" s="148"/>
      <c r="G1" s="148"/>
      <c r="H1" s="148"/>
      <c r="I1" s="148"/>
      <c r="J1" s="148"/>
      <c r="K1" s="333" t="s">
        <v>380</v>
      </c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Q1" s="150"/>
      <c r="AR1" s="150"/>
    </row>
    <row r="2" spans="1:44" ht="46.5" customHeight="1" thickBot="1">
      <c r="A2" s="147"/>
      <c r="B2" s="313"/>
      <c r="C2" s="148"/>
      <c r="D2" s="148"/>
      <c r="E2" s="148"/>
      <c r="F2" s="148"/>
      <c r="G2" s="148"/>
      <c r="H2" s="148"/>
      <c r="I2" s="148"/>
      <c r="J2" s="148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M2" s="148"/>
      <c r="AN2" s="148"/>
      <c r="AO2" s="148"/>
      <c r="AP2" s="148"/>
      <c r="AQ2" s="335" t="s">
        <v>0</v>
      </c>
      <c r="AR2" s="335"/>
    </row>
    <row r="3" spans="1:44" ht="15.75">
      <c r="A3" s="152"/>
      <c r="B3" s="313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51"/>
      <c r="U3" s="151"/>
      <c r="V3" s="151"/>
      <c r="W3" s="336"/>
      <c r="X3" s="336"/>
      <c r="Y3" s="153"/>
      <c r="Z3" s="153"/>
      <c r="AA3" s="153"/>
      <c r="AB3" s="153"/>
      <c r="AC3" s="153"/>
      <c r="AM3" s="148"/>
      <c r="AN3" s="154" t="s">
        <v>1</v>
      </c>
      <c r="AO3" s="154"/>
      <c r="AP3" s="154"/>
      <c r="AQ3" s="337" t="s">
        <v>381</v>
      </c>
      <c r="AR3" s="338"/>
    </row>
    <row r="4" spans="1:44" ht="15">
      <c r="A4" s="147"/>
      <c r="B4" s="151"/>
      <c r="C4" s="149"/>
      <c r="D4" s="149"/>
      <c r="X4" s="155" t="str">
        <f>'1. Доходы бюджета (1.12)'!C4</f>
        <v>на 01.07.2018 года</v>
      </c>
      <c r="AN4" s="154" t="s">
        <v>2</v>
      </c>
      <c r="AO4" s="154"/>
      <c r="AP4" s="154"/>
      <c r="AQ4" s="316" t="str">
        <f>X4</f>
        <v>на 01.07.2018 года</v>
      </c>
      <c r="AR4" s="317"/>
    </row>
    <row r="5" spans="1:44" ht="15">
      <c r="A5" s="147" t="s">
        <v>382</v>
      </c>
      <c r="B5" s="156"/>
      <c r="C5" s="153"/>
      <c r="D5" s="153"/>
      <c r="E5" s="331" t="s">
        <v>383</v>
      </c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11" t="s">
        <v>384</v>
      </c>
      <c r="AA5" s="311"/>
      <c r="AB5" s="311"/>
      <c r="AC5" s="150"/>
      <c r="AD5" s="150"/>
      <c r="AE5" s="150"/>
      <c r="AF5" s="150"/>
      <c r="AG5" s="150"/>
      <c r="AN5" s="154" t="s">
        <v>384</v>
      </c>
      <c r="AO5" s="154"/>
      <c r="AP5" s="154"/>
      <c r="AQ5" s="316">
        <v>78612856</v>
      </c>
      <c r="AR5" s="317"/>
    </row>
    <row r="6" spans="1:44" ht="15">
      <c r="A6" s="147" t="s">
        <v>385</v>
      </c>
      <c r="B6" s="156"/>
      <c r="C6" s="153"/>
      <c r="D6" s="153"/>
      <c r="E6" s="331" t="s">
        <v>386</v>
      </c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11" t="s">
        <v>387</v>
      </c>
      <c r="AA6" s="311"/>
      <c r="AB6" s="311"/>
      <c r="AC6" s="157"/>
      <c r="AD6" s="157"/>
      <c r="AE6" s="157"/>
      <c r="AF6" s="157"/>
      <c r="AG6" s="157"/>
      <c r="AN6" s="154" t="s">
        <v>388</v>
      </c>
      <c r="AO6" s="154"/>
      <c r="AP6" s="154"/>
      <c r="AQ6" s="316">
        <v>15626432</v>
      </c>
      <c r="AR6" s="317"/>
    </row>
    <row r="7" spans="1:44" ht="12.75">
      <c r="A7" s="147" t="s">
        <v>389</v>
      </c>
      <c r="B7" s="156"/>
      <c r="C7" s="149"/>
      <c r="D7" s="149"/>
      <c r="T7" s="151"/>
      <c r="U7" s="151"/>
      <c r="V7" s="151"/>
      <c r="W7" s="310"/>
      <c r="X7" s="310"/>
      <c r="Y7" s="153"/>
      <c r="Z7" s="153"/>
      <c r="AA7" s="153"/>
      <c r="AB7" s="153"/>
      <c r="AC7" s="153"/>
      <c r="AN7" s="154"/>
      <c r="AO7" s="154"/>
      <c r="AP7" s="154"/>
      <c r="AQ7" s="316"/>
      <c r="AR7" s="317"/>
    </row>
    <row r="8" spans="1:44" ht="13.5" thickBot="1">
      <c r="A8" s="147" t="s">
        <v>390</v>
      </c>
      <c r="B8" s="156"/>
      <c r="C8" s="149"/>
      <c r="D8" s="149"/>
      <c r="T8" s="151"/>
      <c r="U8" s="151"/>
      <c r="V8" s="151"/>
      <c r="W8" s="310"/>
      <c r="X8" s="310"/>
      <c r="Y8" s="153"/>
      <c r="Z8" s="311" t="s">
        <v>3</v>
      </c>
      <c r="AA8" s="311"/>
      <c r="AB8" s="311"/>
      <c r="AC8" s="153"/>
      <c r="AN8" s="154" t="s">
        <v>3</v>
      </c>
      <c r="AO8" s="154"/>
      <c r="AP8" s="154"/>
      <c r="AQ8" s="318">
        <v>383</v>
      </c>
      <c r="AR8" s="319"/>
    </row>
    <row r="9" spans="1:44" ht="12.75">
      <c r="A9" s="158"/>
      <c r="B9" s="159"/>
      <c r="C9" s="150"/>
      <c r="D9" s="153"/>
      <c r="T9" s="150"/>
      <c r="U9" s="150"/>
      <c r="V9" s="150"/>
      <c r="W9" s="150"/>
      <c r="X9" s="150"/>
      <c r="Y9" s="150"/>
      <c r="Z9" s="153"/>
      <c r="AA9" s="153"/>
      <c r="AB9" s="153"/>
      <c r="AC9" s="153"/>
      <c r="AR9" s="153"/>
    </row>
    <row r="10" spans="1:44" ht="15">
      <c r="A10" s="320" t="s">
        <v>391</v>
      </c>
      <c r="B10" s="323" t="s">
        <v>5</v>
      </c>
      <c r="C10" s="326" t="s">
        <v>392</v>
      </c>
      <c r="D10" s="326"/>
      <c r="E10" s="328" t="s">
        <v>393</v>
      </c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30"/>
      <c r="Y10" s="328" t="s">
        <v>15</v>
      </c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30"/>
    </row>
    <row r="11" spans="1:44" ht="12.75">
      <c r="A11" s="321"/>
      <c r="B11" s="324"/>
      <c r="C11" s="327"/>
      <c r="D11" s="327"/>
      <c r="E11" s="305" t="s">
        <v>394</v>
      </c>
      <c r="F11" s="307"/>
      <c r="G11" s="305" t="s">
        <v>395</v>
      </c>
      <c r="H11" s="308"/>
      <c r="I11" s="305" t="s">
        <v>84</v>
      </c>
      <c r="J11" s="306"/>
      <c r="K11" s="301" t="s">
        <v>396</v>
      </c>
      <c r="L11" s="302"/>
      <c r="M11" s="301" t="s">
        <v>86</v>
      </c>
      <c r="N11" s="302"/>
      <c r="O11" s="301" t="s">
        <v>397</v>
      </c>
      <c r="P11" s="302"/>
      <c r="Q11" s="301" t="s">
        <v>398</v>
      </c>
      <c r="R11" s="309"/>
      <c r="S11" s="301" t="s">
        <v>87</v>
      </c>
      <c r="T11" s="302"/>
      <c r="U11" s="301" t="s">
        <v>399</v>
      </c>
      <c r="V11" s="302"/>
      <c r="W11" s="301" t="s">
        <v>400</v>
      </c>
      <c r="X11" s="302"/>
      <c r="Y11" s="305" t="s">
        <v>394</v>
      </c>
      <c r="Z11" s="307"/>
      <c r="AA11" s="305" t="s">
        <v>395</v>
      </c>
      <c r="AB11" s="308"/>
      <c r="AC11" s="305" t="s">
        <v>84</v>
      </c>
      <c r="AD11" s="306"/>
      <c r="AE11" s="301" t="s">
        <v>396</v>
      </c>
      <c r="AF11" s="302"/>
      <c r="AG11" s="301" t="s">
        <v>86</v>
      </c>
      <c r="AH11" s="302"/>
      <c r="AI11" s="301" t="s">
        <v>397</v>
      </c>
      <c r="AJ11" s="302"/>
      <c r="AK11" s="301" t="s">
        <v>398</v>
      </c>
      <c r="AL11" s="309"/>
      <c r="AM11" s="301" t="s">
        <v>87</v>
      </c>
      <c r="AN11" s="302"/>
      <c r="AO11" s="301" t="s">
        <v>399</v>
      </c>
      <c r="AP11" s="302"/>
      <c r="AQ11" s="301" t="s">
        <v>400</v>
      </c>
      <c r="AR11" s="302"/>
    </row>
    <row r="12" spans="1:44" ht="102">
      <c r="A12" s="322"/>
      <c r="B12" s="325"/>
      <c r="C12" s="161" t="s">
        <v>401</v>
      </c>
      <c r="D12" s="161" t="s">
        <v>402</v>
      </c>
      <c r="E12" s="162" t="s">
        <v>403</v>
      </c>
      <c r="F12" s="163" t="s">
        <v>404</v>
      </c>
      <c r="G12" s="162" t="s">
        <v>403</v>
      </c>
      <c r="H12" s="163" t="s">
        <v>404</v>
      </c>
      <c r="I12" s="162" t="s">
        <v>403</v>
      </c>
      <c r="J12" s="163" t="s">
        <v>404</v>
      </c>
      <c r="K12" s="162" t="s">
        <v>403</v>
      </c>
      <c r="L12" s="163" t="s">
        <v>404</v>
      </c>
      <c r="M12" s="162" t="s">
        <v>403</v>
      </c>
      <c r="N12" s="163" t="s">
        <v>404</v>
      </c>
      <c r="O12" s="162" t="s">
        <v>403</v>
      </c>
      <c r="P12" s="163" t="s">
        <v>404</v>
      </c>
      <c r="Q12" s="162" t="s">
        <v>403</v>
      </c>
      <c r="R12" s="160" t="s">
        <v>404</v>
      </c>
      <c r="S12" s="162" t="s">
        <v>403</v>
      </c>
      <c r="T12" s="163" t="s">
        <v>404</v>
      </c>
      <c r="U12" s="162" t="s">
        <v>403</v>
      </c>
      <c r="V12" s="163" t="s">
        <v>404</v>
      </c>
      <c r="W12" s="162" t="s">
        <v>403</v>
      </c>
      <c r="X12" s="163" t="s">
        <v>404</v>
      </c>
      <c r="Y12" s="162" t="s">
        <v>403</v>
      </c>
      <c r="Z12" s="163" t="s">
        <v>404</v>
      </c>
      <c r="AA12" s="162" t="s">
        <v>403</v>
      </c>
      <c r="AB12" s="163" t="s">
        <v>404</v>
      </c>
      <c r="AC12" s="162" t="s">
        <v>403</v>
      </c>
      <c r="AD12" s="163" t="s">
        <v>404</v>
      </c>
      <c r="AE12" s="162" t="s">
        <v>403</v>
      </c>
      <c r="AF12" s="163" t="s">
        <v>404</v>
      </c>
      <c r="AG12" s="162" t="s">
        <v>403</v>
      </c>
      <c r="AH12" s="163" t="s">
        <v>404</v>
      </c>
      <c r="AI12" s="162" t="s">
        <v>403</v>
      </c>
      <c r="AJ12" s="163" t="s">
        <v>404</v>
      </c>
      <c r="AK12" s="162" t="s">
        <v>403</v>
      </c>
      <c r="AL12" s="160" t="s">
        <v>404</v>
      </c>
      <c r="AM12" s="162" t="s">
        <v>403</v>
      </c>
      <c r="AN12" s="163" t="s">
        <v>404</v>
      </c>
      <c r="AO12" s="162" t="s">
        <v>403</v>
      </c>
      <c r="AP12" s="163" t="s">
        <v>404</v>
      </c>
      <c r="AQ12" s="162" t="s">
        <v>403</v>
      </c>
      <c r="AR12" s="163" t="s">
        <v>404</v>
      </c>
    </row>
    <row r="13" spans="1:44" ht="12.75">
      <c r="A13" s="164">
        <v>1</v>
      </c>
      <c r="B13" s="165">
        <v>2</v>
      </c>
      <c r="C13" s="165">
        <v>3</v>
      </c>
      <c r="D13" s="165">
        <v>4</v>
      </c>
      <c r="E13" s="165">
        <v>5</v>
      </c>
      <c r="F13" s="165">
        <v>6</v>
      </c>
      <c r="G13" s="165">
        <v>7</v>
      </c>
      <c r="H13" s="165">
        <v>8</v>
      </c>
      <c r="I13" s="165">
        <v>9</v>
      </c>
      <c r="J13" s="165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65">
        <v>24</v>
      </c>
      <c r="Y13" s="165">
        <v>25</v>
      </c>
      <c r="Z13" s="165">
        <v>26</v>
      </c>
      <c r="AA13" s="165">
        <v>27</v>
      </c>
      <c r="AB13" s="165">
        <v>28</v>
      </c>
      <c r="AC13" s="165">
        <v>29</v>
      </c>
      <c r="AD13" s="165">
        <v>30</v>
      </c>
      <c r="AE13" s="165">
        <v>31</v>
      </c>
      <c r="AF13" s="165">
        <v>32</v>
      </c>
      <c r="AG13" s="165">
        <v>33</v>
      </c>
      <c r="AH13" s="165">
        <v>34</v>
      </c>
      <c r="AI13" s="165">
        <v>35</v>
      </c>
      <c r="AJ13" s="165">
        <v>36</v>
      </c>
      <c r="AK13" s="165">
        <v>37</v>
      </c>
      <c r="AL13" s="165">
        <v>38</v>
      </c>
      <c r="AM13" s="165">
        <v>39</v>
      </c>
      <c r="AN13" s="165">
        <v>40</v>
      </c>
      <c r="AO13" s="165">
        <v>41</v>
      </c>
      <c r="AP13" s="165">
        <v>42</v>
      </c>
      <c r="AQ13" s="165">
        <v>43</v>
      </c>
      <c r="AR13" s="165">
        <v>44</v>
      </c>
    </row>
    <row r="14" spans="1:44" ht="15.75">
      <c r="A14" s="303" t="s">
        <v>405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4"/>
    </row>
    <row r="15" spans="1:44" ht="38.25">
      <c r="A15" s="166" t="s">
        <v>413</v>
      </c>
      <c r="B15" s="167" t="s">
        <v>414</v>
      </c>
      <c r="C15" s="167" t="s">
        <v>406</v>
      </c>
      <c r="D15" s="168" t="s">
        <v>407</v>
      </c>
      <c r="E15" s="169">
        <f>W15-G15</f>
        <v>1246485</v>
      </c>
      <c r="F15" s="170">
        <f>X15</f>
        <v>63999</v>
      </c>
      <c r="G15" s="170"/>
      <c r="H15" s="171"/>
      <c r="I15" s="171" t="s">
        <v>408</v>
      </c>
      <c r="J15" s="171" t="s">
        <v>408</v>
      </c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0">
        <f>'2. Расходы бюджета (1.12)'!D11+'2. Расходы бюджета (1.12)'!D34+'2. Расходы бюджета (1.12)'!D72-'2. Расходы бюджета (1.12)'!D29-'2. Расходы бюджета (1.12)'!D32</f>
        <v>1246485</v>
      </c>
      <c r="X15" s="170">
        <f>'2. Расходы бюджета (1.12)'!E72</f>
        <v>63999</v>
      </c>
      <c r="Y15" s="170">
        <f>AQ15-AA15</f>
        <v>557749.25</v>
      </c>
      <c r="Z15" s="170">
        <f>AR15</f>
        <v>26743.64</v>
      </c>
      <c r="AA15" s="170"/>
      <c r="AB15" s="170"/>
      <c r="AC15" s="170" t="s">
        <v>408</v>
      </c>
      <c r="AD15" s="170" t="s">
        <v>408</v>
      </c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>
        <f>'2. Расходы бюджета (1.12)'!F11+'2. Расходы бюджета (1.12)'!F34+'2. Расходы бюджета (1.12)'!F68-'2. Расходы бюджета (1.12)'!F29-'2. Расходы бюджета (1.12)'!F32</f>
        <v>557749.25</v>
      </c>
      <c r="AR15" s="170">
        <f>'2. Расходы бюджета (1.12)'!F62</f>
        <v>26743.64</v>
      </c>
    </row>
    <row r="16" spans="1:44" ht="18">
      <c r="A16" s="172" t="s">
        <v>409</v>
      </c>
      <c r="B16" s="173"/>
      <c r="C16" s="174"/>
      <c r="D16" s="174"/>
      <c r="E16" s="175"/>
      <c r="F16" s="176"/>
      <c r="G16" s="176"/>
      <c r="H16" s="176"/>
      <c r="I16" s="177"/>
      <c r="J16" s="177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7"/>
      <c r="AD16" s="177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8"/>
    </row>
    <row r="17" spans="1:44" ht="38.25">
      <c r="A17" s="179" t="s">
        <v>415</v>
      </c>
      <c r="B17" s="180" t="s">
        <v>416</v>
      </c>
      <c r="C17" s="180" t="s">
        <v>406</v>
      </c>
      <c r="D17" s="180" t="s">
        <v>411</v>
      </c>
      <c r="E17" s="181">
        <f aca="true" t="shared" si="0" ref="E17:F19">W17</f>
        <v>755600</v>
      </c>
      <c r="F17" s="182">
        <f t="shared" si="0"/>
        <v>45500</v>
      </c>
      <c r="G17" s="182"/>
      <c r="H17" s="182"/>
      <c r="I17" s="182" t="s">
        <v>408</v>
      </c>
      <c r="J17" s="182" t="s">
        <v>408</v>
      </c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>
        <f>'2. Расходы бюджета (1.12)'!E9+'2. Расходы бюджета (1.12)'!E13+'2. Расходы бюджета (1.12)'!E63</f>
        <v>755600</v>
      </c>
      <c r="X17" s="182">
        <f>'2. Расходы бюджета (1.12)'!D63</f>
        <v>45500</v>
      </c>
      <c r="Y17" s="182">
        <f aca="true" t="shared" si="1" ref="Y17:Z19">AQ17</f>
        <v>317761.67</v>
      </c>
      <c r="Z17" s="182">
        <f t="shared" si="1"/>
        <v>20779.2</v>
      </c>
      <c r="AA17" s="182"/>
      <c r="AB17" s="182"/>
      <c r="AC17" s="182" t="s">
        <v>408</v>
      </c>
      <c r="AD17" s="182" t="s">
        <v>408</v>
      </c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>
        <f>'2. Расходы бюджета (1.12)'!F9+'2. Расходы бюджета (1.12)'!F13+'2. Расходы бюджета (1.12)'!F63</f>
        <v>317761.67</v>
      </c>
      <c r="AR17" s="182">
        <f>'2. Расходы бюджета (1.12)'!F63</f>
        <v>20779.2</v>
      </c>
    </row>
    <row r="18" spans="1:44" ht="76.5">
      <c r="A18" s="183" t="s">
        <v>417</v>
      </c>
      <c r="B18" s="184" t="s">
        <v>418</v>
      </c>
      <c r="C18" s="184" t="s">
        <v>406</v>
      </c>
      <c r="D18" s="184" t="s">
        <v>412</v>
      </c>
      <c r="E18" s="181">
        <f t="shared" si="0"/>
        <v>227700</v>
      </c>
      <c r="F18" s="182">
        <f t="shared" si="0"/>
        <v>13800</v>
      </c>
      <c r="G18" s="182"/>
      <c r="H18" s="182"/>
      <c r="I18" s="182" t="s">
        <v>408</v>
      </c>
      <c r="J18" s="182" t="s">
        <v>408</v>
      </c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>
        <f>'2. Расходы бюджета (1.12)'!E10+'2. Расходы бюджета (1.12)'!E15+'2. Расходы бюджета (1.12)'!E64</f>
        <v>227700</v>
      </c>
      <c r="X18" s="182">
        <f>'2. Расходы бюджета (1.12)'!D64</f>
        <v>13800</v>
      </c>
      <c r="Y18" s="182">
        <f t="shared" si="1"/>
        <v>93885.01999999999</v>
      </c>
      <c r="Z18" s="182">
        <f t="shared" si="1"/>
        <v>5964.4400000000005</v>
      </c>
      <c r="AA18" s="182"/>
      <c r="AB18" s="182"/>
      <c r="AC18" s="182" t="s">
        <v>408</v>
      </c>
      <c r="AD18" s="182" t="s">
        <v>408</v>
      </c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>
        <f>'2. Расходы бюджета (1.12)'!F10+'2. Расходы бюджета (1.12)'!F15+'2. Расходы бюджета (1.12)'!F64</f>
        <v>93885.01999999999</v>
      </c>
      <c r="AR18" s="182">
        <f>'2. Расходы бюджета (1.12)'!F64</f>
        <v>5964.4400000000005</v>
      </c>
    </row>
    <row r="19" spans="1:44" ht="89.25">
      <c r="A19" s="185" t="s">
        <v>419</v>
      </c>
      <c r="B19" s="186" t="s">
        <v>420</v>
      </c>
      <c r="C19" s="186" t="s">
        <v>406</v>
      </c>
      <c r="D19" s="186" t="s">
        <v>407</v>
      </c>
      <c r="E19" s="187">
        <f t="shared" si="0"/>
        <v>63999</v>
      </c>
      <c r="F19" s="188">
        <f t="shared" si="0"/>
        <v>63999</v>
      </c>
      <c r="G19" s="188"/>
      <c r="H19" s="188"/>
      <c r="I19" s="188" t="s">
        <v>408</v>
      </c>
      <c r="J19" s="188" t="s">
        <v>408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>
        <f>X19</f>
        <v>63999</v>
      </c>
      <c r="X19" s="188">
        <f>X15</f>
        <v>63999</v>
      </c>
      <c r="Y19" s="188">
        <f t="shared" si="1"/>
        <v>26743.64</v>
      </c>
      <c r="Z19" s="188">
        <f t="shared" si="1"/>
        <v>26743.64</v>
      </c>
      <c r="AA19" s="188"/>
      <c r="AB19" s="188"/>
      <c r="AC19" s="188" t="s">
        <v>408</v>
      </c>
      <c r="AD19" s="188" t="s">
        <v>408</v>
      </c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>
        <f>AR15</f>
        <v>26743.64</v>
      </c>
      <c r="AR19" s="188">
        <f>AQ19</f>
        <v>26743.64</v>
      </c>
    </row>
    <row r="20" spans="1:44" ht="18">
      <c r="A20" s="172" t="s">
        <v>409</v>
      </c>
      <c r="B20" s="189"/>
      <c r="C20" s="190"/>
      <c r="D20" s="190"/>
      <c r="E20" s="175"/>
      <c r="F20" s="176"/>
      <c r="G20" s="176"/>
      <c r="H20" s="176"/>
      <c r="I20" s="177"/>
      <c r="J20" s="177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7"/>
      <c r="AD20" s="177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8"/>
    </row>
    <row r="21" spans="1:44" ht="38.25">
      <c r="A21" s="179" t="s">
        <v>421</v>
      </c>
      <c r="B21" s="191" t="s">
        <v>422</v>
      </c>
      <c r="C21" s="180" t="s">
        <v>406</v>
      </c>
      <c r="D21" s="180" t="s">
        <v>411</v>
      </c>
      <c r="E21" s="181">
        <f aca="true" t="shared" si="2" ref="E21:F23">W21</f>
        <v>45500</v>
      </c>
      <c r="F21" s="182">
        <f t="shared" si="2"/>
        <v>45500</v>
      </c>
      <c r="G21" s="182"/>
      <c r="H21" s="182"/>
      <c r="I21" s="182" t="s">
        <v>408</v>
      </c>
      <c r="J21" s="182" t="s">
        <v>408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>
        <f>X21</f>
        <v>45500</v>
      </c>
      <c r="X21" s="182">
        <f>'2. Расходы бюджета (1.12)'!E63</f>
        <v>45500</v>
      </c>
      <c r="Y21" s="182">
        <f aca="true" t="shared" si="3" ref="Y21:Z26">AQ21</f>
        <v>20779.2</v>
      </c>
      <c r="Z21" s="182">
        <f t="shared" si="3"/>
        <v>20779.2</v>
      </c>
      <c r="AA21" s="182"/>
      <c r="AB21" s="182"/>
      <c r="AC21" s="182" t="s">
        <v>408</v>
      </c>
      <c r="AD21" s="182" t="s">
        <v>408</v>
      </c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>
        <f>AR21</f>
        <v>20779.2</v>
      </c>
      <c r="AR21" s="182">
        <f>AR17</f>
        <v>20779.2</v>
      </c>
    </row>
    <row r="22" spans="1:44" ht="76.5">
      <c r="A22" s="192" t="s">
        <v>423</v>
      </c>
      <c r="B22" s="193" t="s">
        <v>424</v>
      </c>
      <c r="C22" s="193" t="s">
        <v>406</v>
      </c>
      <c r="D22" s="193" t="s">
        <v>412</v>
      </c>
      <c r="E22" s="181">
        <f t="shared" si="2"/>
        <v>13800</v>
      </c>
      <c r="F22" s="181">
        <f t="shared" si="2"/>
        <v>13800</v>
      </c>
      <c r="G22" s="181"/>
      <c r="H22" s="181"/>
      <c r="I22" s="181" t="s">
        <v>408</v>
      </c>
      <c r="J22" s="181" t="s">
        <v>408</v>
      </c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2">
        <f>X22</f>
        <v>13800</v>
      </c>
      <c r="X22" s="182">
        <f>'2. Расходы бюджета (1.12)'!E64</f>
        <v>13800</v>
      </c>
      <c r="Y22" s="182">
        <f t="shared" si="3"/>
        <v>5964.4400000000005</v>
      </c>
      <c r="Z22" s="182">
        <f t="shared" si="3"/>
        <v>5964.4400000000005</v>
      </c>
      <c r="AA22" s="182"/>
      <c r="AB22" s="182"/>
      <c r="AC22" s="182" t="s">
        <v>408</v>
      </c>
      <c r="AD22" s="182" t="s">
        <v>408</v>
      </c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>
        <f>AR22</f>
        <v>5964.4400000000005</v>
      </c>
      <c r="AR22" s="182">
        <f>AR18</f>
        <v>5964.4400000000005</v>
      </c>
    </row>
    <row r="23" spans="1:44" ht="63.75">
      <c r="A23" s="185" t="s">
        <v>426</v>
      </c>
      <c r="B23" s="186" t="s">
        <v>427</v>
      </c>
      <c r="C23" s="186" t="s">
        <v>428</v>
      </c>
      <c r="D23" s="186" t="s">
        <v>407</v>
      </c>
      <c r="E23" s="187">
        <f t="shared" si="2"/>
        <v>63999</v>
      </c>
      <c r="F23" s="187">
        <f t="shared" si="2"/>
        <v>63999</v>
      </c>
      <c r="G23" s="162" t="s">
        <v>408</v>
      </c>
      <c r="H23" s="162" t="s">
        <v>408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88">
        <f>X23</f>
        <v>63999</v>
      </c>
      <c r="X23" s="188">
        <f>X19</f>
        <v>63999</v>
      </c>
      <c r="Y23" s="188">
        <f t="shared" si="3"/>
        <v>26743.64</v>
      </c>
      <c r="Z23" s="188">
        <f t="shared" si="3"/>
        <v>26743.64</v>
      </c>
      <c r="AA23" s="188" t="s">
        <v>408</v>
      </c>
      <c r="AB23" s="188" t="s">
        <v>408</v>
      </c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>
        <f>AQ19</f>
        <v>26743.64</v>
      </c>
      <c r="AR23" s="188">
        <f>AQ23</f>
        <v>26743.64</v>
      </c>
    </row>
    <row r="24" spans="1:44" ht="38.25">
      <c r="A24" s="192" t="s">
        <v>410</v>
      </c>
      <c r="B24" s="193" t="s">
        <v>429</v>
      </c>
      <c r="C24" s="193" t="s">
        <v>428</v>
      </c>
      <c r="D24" s="193" t="s">
        <v>411</v>
      </c>
      <c r="E24" s="181">
        <f>F24</f>
        <v>45500</v>
      </c>
      <c r="F24" s="181">
        <f>X24</f>
        <v>45500</v>
      </c>
      <c r="G24" s="181" t="s">
        <v>408</v>
      </c>
      <c r="H24" s="181" t="s">
        <v>408</v>
      </c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2">
        <f>X24</f>
        <v>45500</v>
      </c>
      <c r="X24" s="182">
        <f>X21</f>
        <v>45500</v>
      </c>
      <c r="Y24" s="182">
        <f t="shared" si="3"/>
        <v>20779.2</v>
      </c>
      <c r="Z24" s="182">
        <f t="shared" si="3"/>
        <v>20779.2</v>
      </c>
      <c r="AA24" s="182" t="s">
        <v>408</v>
      </c>
      <c r="AB24" s="182" t="s">
        <v>408</v>
      </c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>
        <f>AR24</f>
        <v>20779.2</v>
      </c>
      <c r="AR24" s="182">
        <f>AR21</f>
        <v>20779.2</v>
      </c>
    </row>
    <row r="25" spans="1:44" ht="114.75">
      <c r="A25" s="192" t="s">
        <v>430</v>
      </c>
      <c r="B25" s="193" t="s">
        <v>431</v>
      </c>
      <c r="C25" s="193" t="s">
        <v>428</v>
      </c>
      <c r="D25" s="193" t="s">
        <v>412</v>
      </c>
      <c r="E25" s="181">
        <f>W25</f>
        <v>13800</v>
      </c>
      <c r="F25" s="181">
        <f>X25</f>
        <v>13800</v>
      </c>
      <c r="G25" s="181" t="s">
        <v>408</v>
      </c>
      <c r="H25" s="181" t="s">
        <v>408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2">
        <f>X25</f>
        <v>13800</v>
      </c>
      <c r="X25" s="182">
        <f>X22</f>
        <v>13800</v>
      </c>
      <c r="Y25" s="182">
        <f t="shared" si="3"/>
        <v>5964.4400000000005</v>
      </c>
      <c r="Z25" s="182">
        <f t="shared" si="3"/>
        <v>5964.4400000000005</v>
      </c>
      <c r="AA25" s="182" t="s">
        <v>408</v>
      </c>
      <c r="AB25" s="182" t="s">
        <v>408</v>
      </c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>
        <f>AR25</f>
        <v>5964.4400000000005</v>
      </c>
      <c r="AR25" s="182">
        <f>AR22</f>
        <v>5964.4400000000005</v>
      </c>
    </row>
    <row r="26" spans="1:44" ht="63.75">
      <c r="A26" s="198" t="s">
        <v>432</v>
      </c>
      <c r="B26" s="195" t="s">
        <v>433</v>
      </c>
      <c r="C26" s="167" t="s">
        <v>406</v>
      </c>
      <c r="D26" s="168" t="s">
        <v>407</v>
      </c>
      <c r="E26" s="187">
        <f>W26</f>
        <v>63999</v>
      </c>
      <c r="F26" s="182">
        <f>X26</f>
        <v>63999</v>
      </c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>
        <f>W23</f>
        <v>63999</v>
      </c>
      <c r="X26" s="188">
        <f>X23</f>
        <v>63999</v>
      </c>
      <c r="Y26" s="188">
        <f t="shared" si="3"/>
        <v>26743.64</v>
      </c>
      <c r="Z26" s="188">
        <f t="shared" si="3"/>
        <v>26743.64</v>
      </c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>
        <f>'2. Расходы бюджета (1.12)'!F72+'2. Расходы бюджета (1.12)'!F177</f>
        <v>26743.64</v>
      </c>
      <c r="AR26" s="188">
        <f>AR23</f>
        <v>26743.64</v>
      </c>
    </row>
    <row r="27" spans="1:44" ht="18">
      <c r="A27" s="198" t="s">
        <v>436</v>
      </c>
      <c r="B27" s="196" t="s">
        <v>437</v>
      </c>
      <c r="C27" s="168" t="s">
        <v>406</v>
      </c>
      <c r="D27" s="201" t="s">
        <v>407</v>
      </c>
      <c r="E27" s="187">
        <f>E28+E29</f>
        <v>1707856.18</v>
      </c>
      <c r="F27" s="182">
        <f aca="true" t="shared" si="4" ref="F27:F36">X27</f>
        <v>0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>
        <f>W28+W29</f>
        <v>1707856.18</v>
      </c>
      <c r="X27" s="188"/>
      <c r="Y27" s="188">
        <f>Y28+Y29</f>
        <v>268213.31</v>
      </c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>
        <f>AQ28+AQ29</f>
        <v>268213.31</v>
      </c>
      <c r="AR27" s="188"/>
    </row>
    <row r="28" spans="1:44" ht="63.75">
      <c r="A28" s="194" t="s">
        <v>434</v>
      </c>
      <c r="B28" s="193" t="s">
        <v>438</v>
      </c>
      <c r="C28" s="160" t="s">
        <v>406</v>
      </c>
      <c r="D28" s="191" t="s">
        <v>407</v>
      </c>
      <c r="E28" s="181">
        <f>W28</f>
        <v>1407856.18</v>
      </c>
      <c r="F28" s="182">
        <f t="shared" si="4"/>
        <v>0</v>
      </c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>
        <v>1407856.18</v>
      </c>
      <c r="X28" s="182"/>
      <c r="Y28" s="182">
        <f>AQ28</f>
        <v>0</v>
      </c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>
        <v>0</v>
      </c>
      <c r="AR28" s="182"/>
    </row>
    <row r="29" spans="1:44" ht="51">
      <c r="A29" s="194" t="s">
        <v>435</v>
      </c>
      <c r="B29" s="193" t="s">
        <v>439</v>
      </c>
      <c r="C29" s="160" t="s">
        <v>406</v>
      </c>
      <c r="D29" s="191" t="s">
        <v>407</v>
      </c>
      <c r="E29" s="181">
        <f>W29</f>
        <v>300000</v>
      </c>
      <c r="F29" s="182">
        <f t="shared" si="4"/>
        <v>0</v>
      </c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2">
        <v>300000</v>
      </c>
      <c r="X29" s="182"/>
      <c r="Y29" s="182">
        <f>AQ29</f>
        <v>268213.31</v>
      </c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>
        <f>37933.43+194540.12+15580.18+20159.58</f>
        <v>268213.31</v>
      </c>
      <c r="AR29" s="181"/>
    </row>
    <row r="30" spans="1:44" ht="25.5">
      <c r="A30" s="166" t="s">
        <v>440</v>
      </c>
      <c r="B30" s="196" t="s">
        <v>441</v>
      </c>
      <c r="C30" s="197" t="s">
        <v>442</v>
      </c>
      <c r="D30" s="201" t="s">
        <v>407</v>
      </c>
      <c r="E30" s="202">
        <v>300</v>
      </c>
      <c r="F30" s="182">
        <f t="shared" si="4"/>
        <v>0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>
        <v>300</v>
      </c>
      <c r="X30" s="202"/>
      <c r="Y30" s="202">
        <f>AQ30</f>
        <v>0</v>
      </c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>
        <f>'2. Расходы бюджета (1.12)'!F124</f>
        <v>0</v>
      </c>
      <c r="AR30" s="203"/>
    </row>
    <row r="31" spans="1:44" ht="15">
      <c r="A31" s="199" t="s">
        <v>425</v>
      </c>
      <c r="B31" s="190"/>
      <c r="C31" s="204"/>
      <c r="D31" s="163"/>
      <c r="E31" s="202"/>
      <c r="F31" s="182">
        <f t="shared" si="4"/>
        <v>0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</row>
    <row r="32" spans="1:44" ht="15">
      <c r="A32" s="200" t="s">
        <v>443</v>
      </c>
      <c r="B32" s="167" t="s">
        <v>444</v>
      </c>
      <c r="C32" s="197" t="s">
        <v>406</v>
      </c>
      <c r="D32" s="201" t="s">
        <v>407</v>
      </c>
      <c r="E32" s="203">
        <f>W32</f>
        <v>109415</v>
      </c>
      <c r="F32" s="182">
        <f t="shared" si="4"/>
        <v>0</v>
      </c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>
        <f>'2. Расходы бюджета (1.12)'!D191</f>
        <v>109415</v>
      </c>
      <c r="X32" s="203"/>
      <c r="Y32" s="203">
        <f aca="true" t="shared" si="5" ref="Y32:Y37">AQ32</f>
        <v>36471.44</v>
      </c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>
        <f>'2. Расходы бюджета (1.12)'!F180</f>
        <v>36471.44</v>
      </c>
      <c r="AR32" s="203"/>
    </row>
    <row r="33" spans="1:44" ht="76.5" hidden="1">
      <c r="A33" s="166" t="s">
        <v>445</v>
      </c>
      <c r="B33" s="195" t="s">
        <v>446</v>
      </c>
      <c r="C33" s="201" t="s">
        <v>406</v>
      </c>
      <c r="D33" s="201" t="s">
        <v>407</v>
      </c>
      <c r="E33" s="203">
        <f>W33</f>
        <v>0</v>
      </c>
      <c r="F33" s="182" t="str">
        <f t="shared" si="4"/>
        <v>х</v>
      </c>
      <c r="G33" s="202" t="s">
        <v>408</v>
      </c>
      <c r="H33" s="202" t="s">
        <v>408</v>
      </c>
      <c r="I33" s="203"/>
      <c r="J33" s="203" t="s">
        <v>408</v>
      </c>
      <c r="K33" s="203"/>
      <c r="L33" s="203" t="s">
        <v>408</v>
      </c>
      <c r="M33" s="203"/>
      <c r="N33" s="203" t="s">
        <v>408</v>
      </c>
      <c r="O33" s="203"/>
      <c r="P33" s="203" t="s">
        <v>408</v>
      </c>
      <c r="Q33" s="203"/>
      <c r="R33" s="203" t="s">
        <v>408</v>
      </c>
      <c r="S33" s="203"/>
      <c r="T33" s="203" t="s">
        <v>408</v>
      </c>
      <c r="U33" s="203"/>
      <c r="V33" s="203" t="s">
        <v>408</v>
      </c>
      <c r="W33" s="203">
        <v>0</v>
      </c>
      <c r="X33" s="202" t="s">
        <v>408</v>
      </c>
      <c r="Y33" s="203" t="str">
        <f t="shared" si="5"/>
        <v>х</v>
      </c>
      <c r="Z33" s="202" t="s">
        <v>408</v>
      </c>
      <c r="AA33" s="202" t="s">
        <v>408</v>
      </c>
      <c r="AB33" s="202" t="s">
        <v>408</v>
      </c>
      <c r="AC33" s="202" t="s">
        <v>408</v>
      </c>
      <c r="AD33" s="202" t="s">
        <v>408</v>
      </c>
      <c r="AE33" s="202" t="s">
        <v>408</v>
      </c>
      <c r="AF33" s="202" t="s">
        <v>408</v>
      </c>
      <c r="AG33" s="202" t="s">
        <v>408</v>
      </c>
      <c r="AH33" s="202" t="s">
        <v>408</v>
      </c>
      <c r="AI33" s="202" t="s">
        <v>408</v>
      </c>
      <c r="AJ33" s="202" t="s">
        <v>408</v>
      </c>
      <c r="AK33" s="202" t="s">
        <v>408</v>
      </c>
      <c r="AL33" s="202" t="s">
        <v>408</v>
      </c>
      <c r="AM33" s="202" t="s">
        <v>408</v>
      </c>
      <c r="AN33" s="202" t="s">
        <v>408</v>
      </c>
      <c r="AO33" s="202" t="s">
        <v>408</v>
      </c>
      <c r="AP33" s="202" t="s">
        <v>408</v>
      </c>
      <c r="AQ33" s="202" t="s">
        <v>408</v>
      </c>
      <c r="AR33" s="202" t="s">
        <v>408</v>
      </c>
    </row>
    <row r="34" spans="1:44" ht="25.5" hidden="1">
      <c r="A34" s="166" t="s">
        <v>447</v>
      </c>
      <c r="B34" s="196" t="s">
        <v>448</v>
      </c>
      <c r="C34" s="197" t="s">
        <v>406</v>
      </c>
      <c r="D34" s="201" t="s">
        <v>407</v>
      </c>
      <c r="E34" s="203">
        <f>W34</f>
        <v>0</v>
      </c>
      <c r="F34" s="182">
        <f t="shared" si="4"/>
        <v>0</v>
      </c>
      <c r="G34" s="203">
        <v>0</v>
      </c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>
        <v>0</v>
      </c>
      <c r="X34" s="203">
        <v>0</v>
      </c>
      <c r="Y34" s="203">
        <f t="shared" si="5"/>
        <v>0</v>
      </c>
      <c r="Z34" s="203">
        <f>AR34</f>
        <v>26743.64</v>
      </c>
      <c r="AA34" s="203">
        <v>0</v>
      </c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>
        <v>0</v>
      </c>
      <c r="AR34" s="203">
        <f>AR26</f>
        <v>26743.64</v>
      </c>
    </row>
    <row r="35" spans="1:44" ht="89.25" hidden="1">
      <c r="A35" s="207" t="s">
        <v>449</v>
      </c>
      <c r="B35" s="184" t="s">
        <v>450</v>
      </c>
      <c r="C35" s="163" t="s">
        <v>406</v>
      </c>
      <c r="D35" s="160" t="s">
        <v>407</v>
      </c>
      <c r="E35" s="203">
        <f>W35</f>
        <v>0</v>
      </c>
      <c r="F35" s="182">
        <f t="shared" si="4"/>
        <v>0</v>
      </c>
      <c r="G35" s="208"/>
      <c r="H35" s="208"/>
      <c r="I35" s="208"/>
      <c r="J35" s="208"/>
      <c r="K35" s="208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09">
        <v>0</v>
      </c>
      <c r="X35" s="209">
        <v>0</v>
      </c>
      <c r="Y35" s="203">
        <f t="shared" si="5"/>
        <v>26743.64</v>
      </c>
      <c r="Z35" s="209">
        <f>AR35</f>
        <v>26743.64</v>
      </c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2">
        <f>AQ26</f>
        <v>26743.64</v>
      </c>
      <c r="AR35" s="202">
        <f>AR26</f>
        <v>26743.64</v>
      </c>
    </row>
    <row r="36" spans="1:44" s="258" customFormat="1" ht="31.5" customHeight="1">
      <c r="A36" s="253" t="s">
        <v>447</v>
      </c>
      <c r="B36" s="254" t="s">
        <v>448</v>
      </c>
      <c r="C36" s="255" t="s">
        <v>406</v>
      </c>
      <c r="D36" s="256" t="s">
        <v>407</v>
      </c>
      <c r="E36" s="203">
        <f>W36-4500</f>
        <v>3185367.0999999996</v>
      </c>
      <c r="F36" s="188">
        <f t="shared" si="4"/>
        <v>63999</v>
      </c>
      <c r="G36" s="188">
        <v>4500</v>
      </c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03">
        <f>'2. Расходы бюджета (1.12)'!D7</f>
        <v>3189867.0999999996</v>
      </c>
      <c r="X36" s="203">
        <v>63999</v>
      </c>
      <c r="Y36" s="203">
        <f t="shared" si="5"/>
        <v>901414.6199999999</v>
      </c>
      <c r="Z36" s="203">
        <f>AR36</f>
        <v>26743.64</v>
      </c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03">
        <f>'2. Расходы бюджета (1.12)'!F7</f>
        <v>901414.6199999999</v>
      </c>
      <c r="AR36" s="203">
        <f>'2. Расходы бюджета (1.12)'!F62</f>
        <v>26743.64</v>
      </c>
    </row>
    <row r="37" spans="1:44" ht="38.25">
      <c r="A37" s="166" t="s">
        <v>451</v>
      </c>
      <c r="B37" s="196" t="s">
        <v>452</v>
      </c>
      <c r="C37" s="197" t="s">
        <v>406</v>
      </c>
      <c r="D37" s="201" t="s">
        <v>407</v>
      </c>
      <c r="E37" s="203" t="str">
        <f>W37</f>
        <v>х</v>
      </c>
      <c r="F37" s="208" t="s">
        <v>408</v>
      </c>
      <c r="G37" s="208" t="s">
        <v>408</v>
      </c>
      <c r="H37" s="208" t="s">
        <v>408</v>
      </c>
      <c r="I37" s="208" t="s">
        <v>408</v>
      </c>
      <c r="J37" s="208" t="s">
        <v>408</v>
      </c>
      <c r="K37" s="208" t="s">
        <v>408</v>
      </c>
      <c r="L37" s="208" t="s">
        <v>408</v>
      </c>
      <c r="M37" s="208" t="s">
        <v>408</v>
      </c>
      <c r="N37" s="208" t="s">
        <v>408</v>
      </c>
      <c r="O37" s="208" t="s">
        <v>408</v>
      </c>
      <c r="P37" s="208" t="s">
        <v>408</v>
      </c>
      <c r="Q37" s="208" t="s">
        <v>408</v>
      </c>
      <c r="R37" s="208" t="s">
        <v>408</v>
      </c>
      <c r="S37" s="208" t="s">
        <v>408</v>
      </c>
      <c r="T37" s="208" t="s">
        <v>408</v>
      </c>
      <c r="U37" s="208" t="s">
        <v>408</v>
      </c>
      <c r="V37" s="208" t="s">
        <v>408</v>
      </c>
      <c r="W37" s="208" t="s">
        <v>408</v>
      </c>
      <c r="X37" s="208" t="s">
        <v>408</v>
      </c>
      <c r="Y37" s="203">
        <f t="shared" si="5"/>
        <v>22011.330000000075</v>
      </c>
      <c r="Z37" s="203">
        <f>Z39</f>
        <v>5255.860000000001</v>
      </c>
      <c r="AA37" s="202" t="s">
        <v>408</v>
      </c>
      <c r="AB37" s="202" t="s">
        <v>408</v>
      </c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>
        <f>'1. Доходы бюджета (1.12)'!E16+'3. Источники финансирования  '!D9-'2. Расходы бюджета (1.12)'!F7</f>
        <v>22011.330000000075</v>
      </c>
      <c r="AR37" s="203"/>
    </row>
    <row r="38" spans="1:44" ht="15">
      <c r="A38" s="237" t="s">
        <v>425</v>
      </c>
      <c r="B38" s="190"/>
      <c r="C38" s="204"/>
      <c r="D38" s="204"/>
      <c r="E38" s="203">
        <f>W38</f>
        <v>0</v>
      </c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5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</row>
    <row r="39" spans="1:44" ht="45" customHeight="1">
      <c r="A39" s="245" t="s">
        <v>453</v>
      </c>
      <c r="B39" s="193" t="s">
        <v>454</v>
      </c>
      <c r="C39" s="160" t="s">
        <v>406</v>
      </c>
      <c r="D39" s="160" t="s">
        <v>407</v>
      </c>
      <c r="E39" s="203" t="str">
        <f>W39</f>
        <v>х</v>
      </c>
      <c r="F39" s="210" t="s">
        <v>408</v>
      </c>
      <c r="G39" s="210" t="s">
        <v>408</v>
      </c>
      <c r="H39" s="210" t="s">
        <v>408</v>
      </c>
      <c r="I39" s="210" t="s">
        <v>408</v>
      </c>
      <c r="J39" s="210" t="s">
        <v>408</v>
      </c>
      <c r="K39" s="210" t="s">
        <v>408</v>
      </c>
      <c r="L39" s="210" t="s">
        <v>408</v>
      </c>
      <c r="M39" s="210" t="s">
        <v>408</v>
      </c>
      <c r="N39" s="210" t="s">
        <v>408</v>
      </c>
      <c r="O39" s="210" t="s">
        <v>408</v>
      </c>
      <c r="P39" s="210" t="s">
        <v>408</v>
      </c>
      <c r="Q39" s="210" t="s">
        <v>408</v>
      </c>
      <c r="R39" s="210" t="s">
        <v>408</v>
      </c>
      <c r="S39" s="210" t="s">
        <v>408</v>
      </c>
      <c r="T39" s="210" t="s">
        <v>408</v>
      </c>
      <c r="U39" s="210" t="s">
        <v>408</v>
      </c>
      <c r="V39" s="210" t="s">
        <v>408</v>
      </c>
      <c r="W39" s="210" t="s">
        <v>408</v>
      </c>
      <c r="X39" s="210" t="s">
        <v>408</v>
      </c>
      <c r="Y39" s="209">
        <f>AQ39</f>
        <v>5255.860000000001</v>
      </c>
      <c r="Z39" s="209">
        <f>AR39</f>
        <v>5255.860000000001</v>
      </c>
      <c r="AA39" s="209" t="s">
        <v>408</v>
      </c>
      <c r="AB39" s="209" t="s">
        <v>408</v>
      </c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>
        <f>'1. Доходы бюджета (1.12)'!E86-'2. Расходы бюджета (1.12)'!F72</f>
        <v>5255.860000000001</v>
      </c>
      <c r="AR39" s="209">
        <f>AQ39</f>
        <v>5255.860000000001</v>
      </c>
    </row>
    <row r="40" spans="1:44" ht="45" customHeight="1" hidden="1">
      <c r="A40" s="245" t="s">
        <v>489</v>
      </c>
      <c r="B40" s="247" t="s">
        <v>490</v>
      </c>
      <c r="C40" s="191" t="s">
        <v>407</v>
      </c>
      <c r="D40" s="191" t="s">
        <v>407</v>
      </c>
      <c r="E40" s="203">
        <f>W40</f>
        <v>0</v>
      </c>
      <c r="F40" s="210"/>
      <c r="G40" s="248"/>
      <c r="H40" s="210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50">
        <f>AQ40</f>
        <v>0</v>
      </c>
      <c r="X40" s="248"/>
      <c r="Y40" s="209">
        <f>AQ40</f>
        <v>0</v>
      </c>
      <c r="Z40" s="243"/>
      <c r="AA40" s="243"/>
      <c r="AB40" s="202"/>
      <c r="AC40" s="243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>
        <v>0</v>
      </c>
      <c r="AR40" s="202"/>
    </row>
    <row r="41" spans="1:44" ht="45" customHeight="1" hidden="1">
      <c r="A41" s="238" t="s">
        <v>486</v>
      </c>
      <c r="B41" s="239" t="s">
        <v>487</v>
      </c>
      <c r="C41" s="240" t="s">
        <v>406</v>
      </c>
      <c r="D41" s="240" t="s">
        <v>407</v>
      </c>
      <c r="E41" s="203">
        <f>W41</f>
        <v>0</v>
      </c>
      <c r="F41" s="210" t="s">
        <v>408</v>
      </c>
      <c r="G41" s="233"/>
      <c r="H41" s="241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44">
        <f>AQ41</f>
        <v>0</v>
      </c>
      <c r="X41" s="242"/>
      <c r="Y41" s="209">
        <f>AQ41</f>
        <v>0</v>
      </c>
      <c r="Z41" s="209"/>
      <c r="AA41" s="243"/>
      <c r="AB41" s="202"/>
      <c r="AC41" s="243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>
        <v>0</v>
      </c>
      <c r="AR41" s="209"/>
    </row>
    <row r="42" spans="1:44" ht="12.75">
      <c r="A42" s="211"/>
      <c r="B42" s="212"/>
      <c r="C42" s="234"/>
      <c r="D42" s="234"/>
      <c r="E42" s="213"/>
      <c r="F42" s="235"/>
      <c r="G42" s="235"/>
      <c r="H42" s="235"/>
      <c r="I42" s="213"/>
      <c r="J42" s="213"/>
      <c r="K42" s="213"/>
      <c r="L42" s="213"/>
      <c r="M42" s="213"/>
      <c r="N42" s="213"/>
      <c r="O42" s="213"/>
      <c r="P42" s="213"/>
      <c r="Q42" s="153"/>
      <c r="R42" s="153"/>
      <c r="S42" s="153"/>
      <c r="T42" s="153"/>
      <c r="U42" s="153"/>
      <c r="V42" s="153"/>
      <c r="W42" s="153"/>
      <c r="X42" s="236"/>
      <c r="Y42" s="214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213"/>
    </row>
    <row r="43" spans="1:44" ht="15">
      <c r="A43" s="215" t="s">
        <v>455</v>
      </c>
      <c r="B43" s="216"/>
      <c r="C43" s="217"/>
      <c r="D43" s="217"/>
      <c r="E43" s="216"/>
      <c r="F43" s="151"/>
      <c r="G43" s="151"/>
      <c r="H43" s="151"/>
      <c r="I43" s="151"/>
      <c r="J43" s="151"/>
      <c r="K43" s="216"/>
      <c r="L43" s="217"/>
      <c r="M43" s="216"/>
      <c r="N43" s="218"/>
      <c r="O43" s="312" t="s">
        <v>456</v>
      </c>
      <c r="P43" s="312"/>
      <c r="Q43" s="312"/>
      <c r="R43" s="312"/>
      <c r="S43" s="312"/>
      <c r="T43" s="312"/>
      <c r="U43" s="312"/>
      <c r="V43" s="312"/>
      <c r="W43" s="312"/>
      <c r="X43" s="312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153"/>
      <c r="AN43" s="216"/>
      <c r="AO43" s="216"/>
      <c r="AP43" s="216"/>
      <c r="AQ43" s="216"/>
      <c r="AR43" s="216"/>
    </row>
    <row r="44" spans="1:44" ht="12.75">
      <c r="A44" s="219"/>
      <c r="B44" s="216"/>
      <c r="C44" s="217"/>
      <c r="D44" s="217"/>
      <c r="E44" s="216"/>
      <c r="F44" s="313" t="s">
        <v>457</v>
      </c>
      <c r="G44" s="313"/>
      <c r="H44" s="313"/>
      <c r="I44" s="314"/>
      <c r="J44" s="314"/>
      <c r="K44" s="216"/>
      <c r="L44" s="220"/>
      <c r="M44" s="216"/>
      <c r="N44" s="315" t="s">
        <v>458</v>
      </c>
      <c r="O44" s="315"/>
      <c r="P44" s="315"/>
      <c r="Q44" s="315"/>
      <c r="R44" s="315"/>
      <c r="S44" s="315"/>
      <c r="T44" s="315"/>
      <c r="U44" s="315"/>
      <c r="V44" s="315"/>
      <c r="W44" s="315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ht="12.75">
      <c r="A45" s="221" t="s">
        <v>459</v>
      </c>
      <c r="B45" s="216"/>
      <c r="C45" s="217"/>
      <c r="D45" s="217"/>
      <c r="E45" s="216"/>
      <c r="F45" s="154"/>
      <c r="G45" s="154"/>
      <c r="H45" s="154"/>
      <c r="I45" s="154"/>
      <c r="J45" s="154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39" ht="12.75">
      <c r="A46" s="222"/>
      <c r="C46" s="151"/>
      <c r="D46" s="151"/>
      <c r="AM46" s="216"/>
    </row>
    <row r="47" spans="3:4" ht="12.75">
      <c r="C47" s="151"/>
      <c r="D47" s="151"/>
    </row>
    <row r="48" spans="1:4" ht="12.75">
      <c r="A48" s="221" t="str">
        <f>X4</f>
        <v>на 01.07.2018 года</v>
      </c>
      <c r="C48" s="151"/>
      <c r="D48" s="151"/>
    </row>
    <row r="49" spans="1:9" ht="12.75">
      <c r="A49" s="223"/>
      <c r="C49" s="151"/>
      <c r="D49" s="151"/>
      <c r="E49" s="224"/>
      <c r="F49" s="224"/>
      <c r="G49" s="224"/>
      <c r="H49" s="224"/>
      <c r="I49" s="224"/>
    </row>
    <row r="50" spans="3:4" ht="12.75">
      <c r="C50" s="151"/>
      <c r="D50" s="151"/>
    </row>
    <row r="51" spans="3:4" ht="12.75">
      <c r="C51" s="151"/>
      <c r="D51" s="151"/>
    </row>
    <row r="52" spans="3:4" ht="12.75">
      <c r="C52" s="151"/>
      <c r="D52" s="151"/>
    </row>
    <row r="53" spans="3:4" ht="12.75">
      <c r="C53" s="151"/>
      <c r="D53" s="151"/>
    </row>
    <row r="54" spans="3:4" ht="12.75">
      <c r="C54" s="151"/>
      <c r="D54" s="151"/>
    </row>
    <row r="55" spans="3:4" ht="12.75">
      <c r="C55" s="151"/>
      <c r="D55" s="151"/>
    </row>
    <row r="56" spans="3:4" ht="12.75">
      <c r="C56" s="151"/>
      <c r="D56" s="151"/>
    </row>
    <row r="57" spans="3:4" ht="12.75">
      <c r="C57" s="151"/>
      <c r="D57" s="151"/>
    </row>
    <row r="58" spans="3:4" ht="12.75">
      <c r="C58" s="151"/>
      <c r="D58" s="151"/>
    </row>
    <row r="59" spans="3:4" ht="12.75">
      <c r="C59" s="151"/>
      <c r="D59" s="151"/>
    </row>
    <row r="60" spans="3:4" ht="12.75">
      <c r="C60" s="151"/>
      <c r="D60" s="151"/>
    </row>
    <row r="61" spans="3:4" ht="12.75">
      <c r="C61" s="151"/>
      <c r="D61" s="151"/>
    </row>
    <row r="62" spans="3:4" ht="12.75">
      <c r="C62" s="151"/>
      <c r="D62" s="151"/>
    </row>
    <row r="63" spans="3:4" ht="12.75">
      <c r="C63" s="151"/>
      <c r="D63" s="151"/>
    </row>
    <row r="64" spans="3:4" ht="12.75">
      <c r="C64" s="151"/>
      <c r="D64" s="151"/>
    </row>
    <row r="65" spans="3:4" ht="12.75">
      <c r="C65" s="151"/>
      <c r="D65" s="151"/>
    </row>
  </sheetData>
  <sheetProtection/>
  <mergeCells count="46">
    <mergeCell ref="B1:B3"/>
    <mergeCell ref="K1:AG2"/>
    <mergeCell ref="AQ2:AR2"/>
    <mergeCell ref="W3:X3"/>
    <mergeCell ref="AQ3:AR3"/>
    <mergeCell ref="AQ4:AR4"/>
    <mergeCell ref="E5:Y5"/>
    <mergeCell ref="Z5:AB5"/>
    <mergeCell ref="AQ5:AR5"/>
    <mergeCell ref="E6:Y6"/>
    <mergeCell ref="Z6:AB6"/>
    <mergeCell ref="AQ6:AR6"/>
    <mergeCell ref="W7:X7"/>
    <mergeCell ref="AQ7:AR7"/>
    <mergeCell ref="AQ8:AR8"/>
    <mergeCell ref="A10:A12"/>
    <mergeCell ref="B10:B12"/>
    <mergeCell ref="C10:D11"/>
    <mergeCell ref="E10:X10"/>
    <mergeCell ref="Y10:AR10"/>
    <mergeCell ref="E11:F11"/>
    <mergeCell ref="G11:H11"/>
    <mergeCell ref="M11:N11"/>
    <mergeCell ref="O11:P11"/>
    <mergeCell ref="W8:X8"/>
    <mergeCell ref="Z8:AB8"/>
    <mergeCell ref="O43:X43"/>
    <mergeCell ref="F44:J44"/>
    <mergeCell ref="N44:W44"/>
    <mergeCell ref="AO11:AP11"/>
    <mergeCell ref="AK11:AL11"/>
    <mergeCell ref="AM11:AN11"/>
    <mergeCell ref="Q11:R11"/>
    <mergeCell ref="S11:T11"/>
    <mergeCell ref="U11:V11"/>
    <mergeCell ref="W11:X11"/>
    <mergeCell ref="AQ11:AR11"/>
    <mergeCell ref="A14:AR14"/>
    <mergeCell ref="AC11:AD11"/>
    <mergeCell ref="AE11:AF11"/>
    <mergeCell ref="AG11:AH11"/>
    <mergeCell ref="AI11:AJ11"/>
    <mergeCell ref="Y11:Z11"/>
    <mergeCell ref="AA11:AB11"/>
    <mergeCell ref="I11:J11"/>
    <mergeCell ref="K11:L11"/>
  </mergeCells>
  <printOptions/>
  <pageMargins left="0" right="0" top="0" bottom="0" header="0.31496062992125984" footer="0.31496062992125984"/>
  <pageSetup fitToHeight="0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2018-07-04T12:27:49Z</cp:lastPrinted>
  <dcterms:created xsi:type="dcterms:W3CDTF">2002-10-08T15:02:13Z</dcterms:created>
  <dcterms:modified xsi:type="dcterms:W3CDTF">2018-08-29T12:05:21Z</dcterms:modified>
  <cp:category/>
  <cp:version/>
  <cp:contentType/>
  <cp:contentStatus/>
</cp:coreProperties>
</file>