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firstSheet="5" activeTab="5"/>
  </bookViews>
  <sheets>
    <sheet name="1. Дох.2019-2021" sheetId="1" state="hidden" r:id="rId1"/>
    <sheet name="2. Норм." sheetId="2" state="hidden" r:id="rId2"/>
    <sheet name="3.Адм.дох." sheetId="3" state="hidden" r:id="rId3"/>
    <sheet name="4.Адм ОГВ" sheetId="4" state="hidden" r:id="rId4"/>
    <sheet name="5. Адм.ист." sheetId="5" state="hidden" r:id="rId5"/>
    <sheet name="Дох.(май)" sheetId="6" r:id="rId6"/>
    <sheet name="6.Вед.19-21 " sheetId="7" r:id="rId7"/>
    <sheet name="7.Функ.19-21" sheetId="8" r:id="rId8"/>
    <sheet name="8.МП 19-21" sheetId="9" r:id="rId9"/>
    <sheet name="9.1 Вн.контр." sheetId="10" state="hidden" r:id="rId10"/>
    <sheet name="9.2.Архив " sheetId="11" state="hidden" r:id="rId11"/>
    <sheet name="9.3.Спорт " sheetId="12" state="hidden" r:id="rId12"/>
    <sheet name="9.4.Внутр.конт." sheetId="13" state="hidden" r:id="rId13"/>
    <sheet name="10.Ист.19-21" sheetId="14" r:id="rId14"/>
  </sheets>
  <externalReferences>
    <externalReference r:id="rId17"/>
  </externalReferences>
  <definedNames>
    <definedName name="_xlnm.Print_Titles" localSheetId="0">'1. Дох.2019-2021'!$8:$9</definedName>
    <definedName name="_xlnm.Print_Titles" localSheetId="6">'6.Вед.19-21 '!$9:$9</definedName>
    <definedName name="_xlnm.Print_Titles" localSheetId="7">'7.Функ.19-21'!$10:$10</definedName>
    <definedName name="_xlnm.Print_Titles" localSheetId="5">'Дох.(май)'!$11:$12</definedName>
  </definedNames>
  <calcPr fullCalcOnLoad="1"/>
</workbook>
</file>

<file path=xl/sharedStrings.xml><?xml version="1.0" encoding="utf-8"?>
<sst xmlns="http://schemas.openxmlformats.org/spreadsheetml/2006/main" count="1783" uniqueCount="438">
  <si>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</si>
  <si>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</si>
  <si>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</si>
  <si>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</si>
  <si>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</si>
  <si>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</si>
  <si>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</si>
  <si>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</si>
  <si>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</si>
  <si>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</si>
  <si>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</si>
  <si>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</si>
  <si>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</si>
  <si>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</si>
  <si>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</si>
  <si>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</si>
  <si>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</si>
  <si>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</si>
  <si>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</si>
  <si>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</si>
  <si>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</si>
  <si>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</si>
  <si>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</si>
  <si>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</si>
  <si>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</si>
  <si>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</si>
  <si>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</si>
  <si>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</si>
  <si>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</si>
  <si>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</si>
  <si>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</si>
  <si>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</si>
  <si>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</si>
  <si>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</si>
  <si>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Условно утвержденные расходы</t>
  </si>
  <si>
    <t>99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</si>
  <si>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</si>
  <si>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</si>
  <si>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</si>
  <si>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</si>
  <si>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</si>
  <si>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</si>
  <si>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</si>
  <si>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</si>
  <si>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</si>
  <si>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</si>
  <si>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</si>
  <si>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</si>
  <si>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</si>
  <si>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</si>
  <si>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</si>
  <si>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</si>
  <si>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</si>
  <si>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</si>
  <si>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</si>
  <si>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</si>
  <si>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</si>
  <si>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</si>
  <si>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</si>
  <si>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</si>
  <si>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</si>
  <si>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</si>
  <si>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</si>
  <si>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</si>
  <si>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</si>
  <si>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</si>
  <si>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</si>
  <si>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</si>
  <si>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</si>
  <si>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</si>
  <si>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>Резервный фонд местных администраций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</si>
  <si>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</si>
  <si>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</si>
  <si>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</si>
  <si>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</si>
  <si>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</si>
  <si>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</si>
  <si>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</si>
  <si>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</si>
  <si>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1 11 00000 00 0000 000</t>
  </si>
  <si>
    <t>1 11 05000 00 0000 120</t>
  </si>
  <si>
    <t>1 11 05030 00 0000 120</t>
  </si>
  <si>
    <t xml:space="preserve"> Приложение 1</t>
  </si>
  <si>
    <t xml:space="preserve"> Приложение 2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</si>
  <si>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</si>
  <si>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</si>
  <si>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</si>
  <si>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</si>
  <si>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</si>
  <si>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</si>
  <si>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</si>
  <si>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</si>
  <si>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</si>
  <si>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</si>
  <si>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</si>
  <si>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</si>
  <si>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</si>
  <si>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</si>
  <si>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</si>
  <si>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7003</t>
  </si>
  <si>
    <t>Организация и содержание мест захоронения (кладбищ)</t>
  </si>
  <si>
    <t>1014</t>
  </si>
  <si>
    <t>110</t>
  </si>
  <si>
    <t>Расходы на выплаты персоналу казенных учреждений</t>
  </si>
  <si>
    <t>Приложение 4</t>
  </si>
  <si>
    <t>Код бюджетной классификации Российской Федерации</t>
  </si>
  <si>
    <t xml:space="preserve">Наименование  </t>
  </si>
  <si>
    <t>администратора доходов</t>
  </si>
  <si>
    <t>доходов бюджета сельского поселения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</si>
  <si>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</si>
  <si>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</si>
  <si>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1 08 07175 01 4000 110</t>
  </si>
  <si>
    <t>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</si>
  <si>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1 11 05025 10 0000 120</t>
  </si>
  <si>
    <t>1 11 07015 10 0000 120</t>
  </si>
  <si>
    <t>1 11 09045 10 0000 120</t>
  </si>
  <si>
    <t>1 13 01995 10 0000 130</t>
  </si>
  <si>
    <t>1 13 02995 10 0000 130</t>
  </si>
  <si>
    <t>1 14 02052 10 0000 410</t>
  </si>
  <si>
    <t>1 14 02053 10 0000 410</t>
  </si>
  <si>
    <t>1 14 02052 10 0000 440</t>
  </si>
  <si>
    <t>1 14 02053 10 0000 440</t>
  </si>
  <si>
    <t>1 15 02050 10 0000 140</t>
  </si>
  <si>
    <t>1 16 18050 10 0000 140</t>
  </si>
  <si>
    <t>1 16 23051 10 0000 140</t>
  </si>
  <si>
    <t>1 16 23052 10 0000 140</t>
  </si>
  <si>
    <t>1 16 90050 10 0000 140</t>
  </si>
  <si>
    <t>1 17 01050 10 0000 180</t>
  </si>
  <si>
    <t>1 17 05050 10 0000 180</t>
  </si>
  <si>
    <t>Массовый спорт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</si>
  <si>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</si>
  <si>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</si>
  <si>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</si>
  <si>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</si>
  <si>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</si>
  <si>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</si>
  <si>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</si>
  <si>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Денежные взыскания (штрафы) за нарушение бюджетного законодательства (в части бюджетов сельских поселений)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</si>
  <si>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
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</si>
  <si>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</si>
  <si>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</si>
  <si>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</si>
  <si>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</si>
  <si>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</si>
  <si>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</si>
  <si>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</si>
  <si>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</si>
  <si>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</si>
  <si>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</si>
  <si>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</si>
  <si>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</si>
  <si>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</si>
  <si>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</si>
  <si>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</si>
  <si>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</si>
  <si>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</si>
  <si>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3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</si>
  <si>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</si>
  <si>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</si>
  <si>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</si>
  <si>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</si>
  <si>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</si>
  <si>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</si>
  <si>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</si>
  <si>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 передаваемых  полномочий субъектов Российской 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</si>
  <si>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</si>
  <si>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1</t>
  </si>
  <si>
    <t>1 08 04020 01 1000 110</t>
  </si>
  <si>
    <t>1 08 04020 01 4000 110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</si>
  <si>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</si>
  <si>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сельскими поселениями</t>
  </si>
  <si>
    <t>Доходы от  реализации имущества, находящегося в  оперативном управлении учреждений, находящихся   в  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</si>
  <si>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 органами местного самоуправления  (организациями) сельских поселений  за выполнение определенных функций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</si>
  <si>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</si>
  <si>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</si>
  <si>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</si>
  <si>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</si>
  <si>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</si>
  <si>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</si>
  <si>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</si>
  <si>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</si>
  <si>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63 0 15 70030</t>
  </si>
  <si>
    <t>Сумма на 2019 год</t>
  </si>
  <si>
    <t>Утверждено на 2018 год</t>
  </si>
  <si>
    <t>Утверждено на 2019 год</t>
  </si>
  <si>
    <t>2 02 10000 00 0000 151</t>
  </si>
  <si>
    <t>2 02 15001 00 0000 151</t>
  </si>
  <si>
    <t>2 02 15001 10 0000 151</t>
  </si>
  <si>
    <t>2 02 15002 00 0000 151</t>
  </si>
  <si>
    <t>2 02 15002 10 0000 151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</si>
  <si>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</si>
  <si>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</si>
  <si>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</si>
  <si>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</si>
  <si>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2 02 30024 10 0000 151</t>
  </si>
  <si>
    <t>Уплата налогов, сборов и иных платежей</t>
  </si>
  <si>
    <t>850</t>
  </si>
  <si>
    <t>Закупка товаров, работ и услуг для обеспечения государственных (муниципальных) нужд</t>
  </si>
  <si>
    <t>Администрация  Акуличского сельского поселения</t>
  </si>
  <si>
    <t>Акуличская сельская администрация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</si>
  <si>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</si>
  <si>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</si>
  <si>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МП</t>
  </si>
  <si>
    <t>ППМП</t>
  </si>
  <si>
    <t>Утверждено на 2020 год</t>
  </si>
  <si>
    <t>62 0 11 80010</t>
  </si>
  <si>
    <t>Обеспечение деятельности главы муниципального образования</t>
  </si>
  <si>
    <t>62 0 11 80040</t>
  </si>
  <si>
    <t>62 0 11 84200</t>
  </si>
  <si>
    <t>62 0 11 84220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</si>
  <si>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</si>
  <si>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</si>
  <si>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62 0 12 51180</t>
  </si>
  <si>
    <t>62 0 14 83740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</si>
  <si>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</si>
  <si>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62 0 15 83760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</si>
  <si>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</si>
  <si>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62 0 15 81690</t>
  </si>
  <si>
    <t>Организация и обеспечение освещения улиц</t>
  </si>
  <si>
    <t>62 0 18 84290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</si>
  <si>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</si>
  <si>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ОМ</t>
  </si>
  <si>
    <t>80010</t>
  </si>
  <si>
    <t>80040</t>
  </si>
  <si>
    <t>84200</t>
  </si>
  <si>
    <t>84220</t>
  </si>
  <si>
    <t>51180</t>
  </si>
  <si>
    <t>83740</t>
  </si>
  <si>
    <t>83760</t>
  </si>
  <si>
    <t>81690</t>
  </si>
  <si>
    <t>84290</t>
  </si>
  <si>
    <t>Сумма на 2020 год</t>
  </si>
  <si>
    <t>Приложение 3</t>
  </si>
  <si>
    <t>Наименование  доходов</t>
  </si>
  <si>
    <t>Бюджет сельского поселения</t>
  </si>
  <si>
    <t>В части прочих неналоговых доходов</t>
  </si>
  <si>
    <t>Невыясненные поступления, зачисляемые в бюджет поселений</t>
  </si>
  <si>
    <t>Прочие неналоговые доходы бюджетов поселений</t>
  </si>
  <si>
    <t>В части доходов от оказания платных услуг (работ) и компенсации затрат государства</t>
  </si>
  <si>
    <t>Прочие доходы отоказания платных услуг (работ) получателями средств бюджетов поселений и компенсации затрат бюджетов поселений</t>
  </si>
  <si>
    <t>Приложение 2</t>
  </si>
  <si>
    <t>Приложение 5</t>
  </si>
  <si>
    <t>Перечень главных администраторов доходов местного бюджета - органов государственной власти Российской Федерации, органов государственной власти Брянской области</t>
  </si>
  <si>
    <t xml:space="preserve">Наименование главного администратора доходов местного  бюджета </t>
  </si>
  <si>
    <t>доходов местного бюджета</t>
  </si>
  <si>
    <t>Федеральная налоговая служба</t>
  </si>
  <si>
    <t>Налог на доходы физических лиц &lt;1&gt;</t>
  </si>
  <si>
    <t>Единый сельскохозяйственный налог&lt;1&gt;</t>
  </si>
  <si>
    <t>Налог на имущество физических лиц&lt;1&gt;</t>
  </si>
  <si>
    <t>Земельный налог&lt;1&gt;</t>
  </si>
  <si>
    <t>&lt;1&gt;  Администрирование поступлений по всем программам и подстатьям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</si>
  <si>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&lt;2&gt;  Администрирование данных поступлений осуществляется как органами государственной власти Российской Федерации (органами управления государственными внебюджетными фондами Российской Федерации, Центральным банком Российской Федерации), так и органами государственной власти субъектов Российской Федерации</t>
  </si>
  <si>
    <t>Код бюджетной классификации Российской Федерации администратора</t>
  </si>
  <si>
    <t>Код бюджетной классификации Российской  Федерации источников внутреннего финансирования дефицита</t>
  </si>
  <si>
    <t>Наименование администраторов источников финансирования дефицита бюджета сельского поселения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</si>
  <si>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</si>
  <si>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</si>
  <si>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</si>
  <si>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</si>
  <si>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Таблица 1</t>
  </si>
  <si>
    <t>№ п/п</t>
  </si>
  <si>
    <t>Наименование муниципального образования</t>
  </si>
  <si>
    <t>Клетнянский муниципальный район</t>
  </si>
  <si>
    <t>ИТОГО</t>
  </si>
  <si>
    <t>Таблица 2</t>
  </si>
  <si>
    <t>Таблица 3</t>
  </si>
  <si>
    <t>2019 год</t>
  </si>
  <si>
    <t>2020 год</t>
  </si>
  <si>
    <t xml:space="preserve"> Приложение 8</t>
  </si>
  <si>
    <t>КБК</t>
  </si>
  <si>
    <t>НАИМЕНОВАНИЕ</t>
  </si>
  <si>
    <t>Изменения 2015 год</t>
  </si>
  <si>
    <t xml:space="preserve">Уточненный план </t>
  </si>
  <si>
    <t>862 01 05 00 00 00 0000 000</t>
  </si>
  <si>
    <t>Изменение остатков средств на счетах по учету средств бюджета</t>
  </si>
  <si>
    <t>862 01 05 00 00 00 0000 500</t>
  </si>
  <si>
    <t>Увеличение остатков средств бюджетов</t>
  </si>
  <si>
    <t>862 01 05 02 00 00 0000 500</t>
  </si>
  <si>
    <t>Увеличение прочих остатков средств бюджетов</t>
  </si>
  <si>
    <t>862 01 05 02 01 00 0000 510</t>
  </si>
  <si>
    <t xml:space="preserve">Увеличение прочих остатков денежных средств бюджетов </t>
  </si>
  <si>
    <t>862 01 05 02 10 10 0000 510</t>
  </si>
  <si>
    <t>862 01 05 00 00 00 0000 600</t>
  </si>
  <si>
    <t>Уменьшение остатков средств бюджетов</t>
  </si>
  <si>
    <t>862 01 05 02 00 00 0000 600</t>
  </si>
  <si>
    <t>Уменьшение прочих остатков средств бюджетов</t>
  </si>
  <si>
    <t>862 01 05 02 01 00 0000 610</t>
  </si>
  <si>
    <t>Уменьшение прочих остатков денежных средств бюджетов</t>
  </si>
  <si>
    <t>862 01 05 02 01 10 0000 610</t>
  </si>
  <si>
    <t>Итого источников внутреннего финансирования дефицита</t>
  </si>
  <si>
    <t>Приложение 9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</si>
  <si>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</si>
  <si>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(рублей)</t>
  </si>
  <si>
    <t>63 0 11 80020</t>
  </si>
  <si>
    <t>63 0 11 80040</t>
  </si>
  <si>
    <t>Членские взносы некоммерческим организациям</t>
  </si>
  <si>
    <t>81410</t>
  </si>
  <si>
    <t>63 0 11 81410</t>
  </si>
  <si>
    <t>63 0 11 84200</t>
  </si>
  <si>
    <t>63 0 11 84220</t>
  </si>
  <si>
    <t>Обеспечение первичного воинского учета на территориях, где отсутствуют военные комиссариаты</t>
  </si>
  <si>
    <t>63 0 12 51180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</si>
  <si>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</si>
  <si>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81140</t>
  </si>
  <si>
    <t>63 0 13 81140</t>
  </si>
  <si>
    <t>Развитие и модернизация сети автомобильных дорог общего пользования местного значения</t>
  </si>
  <si>
    <t>63 0 14 83740</t>
  </si>
  <si>
    <t>Содействие реформированию жилищно-коммунального хозяйства; создание благоприятных условий проживания граждан</t>
  </si>
  <si>
    <t>63 0 15 81690</t>
  </si>
  <si>
    <t>81710</t>
  </si>
  <si>
    <t>63 0 15 81710</t>
  </si>
  <si>
    <t>63 0 15 83760</t>
  </si>
  <si>
    <t>Развитие физической культуры и спорта</t>
  </si>
  <si>
    <t>63 0 18 84290</t>
  </si>
  <si>
    <t xml:space="preserve">Непрограммная деятельность </t>
  </si>
  <si>
    <t>00</t>
  </si>
  <si>
    <t>83030</t>
  </si>
  <si>
    <t>70 0 00 83030</t>
  </si>
  <si>
    <t>70 0 1014</t>
  </si>
  <si>
    <t>НР</t>
  </si>
  <si>
    <t>80020</t>
  </si>
  <si>
    <t>62 0 11 81410</t>
  </si>
  <si>
    <t>62 0 13 81140</t>
  </si>
  <si>
    <t>62 0 15 81710</t>
  </si>
  <si>
    <t xml:space="preserve">Осуществление первичного воинского учета на территориях, где отсутствуют военные комиссариаты </t>
  </si>
  <si>
    <t>к проекту Решения  Акуличского сельского Совета народных депутатов  "О бюджете муниципального образования  "Акуличское сельское поселение" на 2019 год и на плановый период 2020 и 2021 годов"</t>
  </si>
  <si>
    <t>Прогнозируемые доходы бюджета муниципального образования "Акуличское сельское поселение"  на 2019 год и на плановый период 2020 и 2021 годов</t>
  </si>
  <si>
    <t>Нормативы распределения доходов на 2019 год и на плановый период 2020 и 2021 годов в бюджет муниципального образования "Акуличское сельское поселение"</t>
  </si>
  <si>
    <t>Перечень главных администраторов доходов бюджета муниципального образования "Акуличское сельское поселение"</t>
  </si>
  <si>
    <t>Перечень главных администраторов источников финансирования дефицита бюджета муниципального образования "Акуличское сельское поселение"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</si>
  <si>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осуществлению внешнего муниципального финансового контроля на 2019 год и на плановый период 2020 и 2021 годов</t>
  </si>
  <si>
    <t>2021 год</t>
  </si>
  <si>
    <t>Продолжение приложение 9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</si>
  <si>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формированию архивных фондов поселения на 2019 год и на плановый период 2020 и 2021 годов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</si>
  <si>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на обеспечение условий для развития на территории поселения физической культуры и массового спорта, организацию проведения официальных физкультурно-оздоровительных мероприятий поселения на 2019 год и на плановый период 2020 и 2021 годов</t>
  </si>
  <si>
    <t>Таблица 4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</si>
  <si>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осуществлению  внутреннего муниципального финансового контроля на 2019 год и на плановый период 2020 и 2021 годов</t>
  </si>
  <si>
    <t>Приложение 10</t>
  </si>
  <si>
    <t>Источники внутреннего финансирования дефицита бюджета муниципального образования "Акуличское сельское поселение"  на 2019 год и на плановый период 2020 и 2021 годов</t>
  </si>
  <si>
    <t>Утверждено на 2021 год</t>
  </si>
  <si>
    <t>Сумма на 2021 год</t>
  </si>
  <si>
    <t>Информационное обеспечение деятельности органов местного самоуправления</t>
  </si>
  <si>
    <t>62 0 11 80070</t>
  </si>
  <si>
    <t>62 0 11 84400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</si>
  <si>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</si>
  <si>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</si>
  <si>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</si>
  <si>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</si>
  <si>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Специальные расходы</t>
  </si>
  <si>
    <t>70 0 00 80060</t>
  </si>
  <si>
    <t>880</t>
  </si>
  <si>
    <t>62 0 15 81700</t>
  </si>
  <si>
    <t>Озеленение территории</t>
  </si>
  <si>
    <t>Коммунальное хозяйство</t>
  </si>
  <si>
    <t>1369000</t>
  </si>
  <si>
    <t>нормат.</t>
  </si>
  <si>
    <t>откл.</t>
  </si>
  <si>
    <t>80070</t>
  </si>
  <si>
    <t>84400</t>
  </si>
  <si>
    <t>81700</t>
  </si>
  <si>
    <t>80060</t>
  </si>
  <si>
    <t>70 0 00 80080</t>
  </si>
  <si>
    <t>990</t>
  </si>
  <si>
    <t>80080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</si>
  <si>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</si>
  <si>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</si>
  <si>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</si>
  <si>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</si>
  <si>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</si>
  <si>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</si>
  <si>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2 02 30024 10 0000 150</t>
  </si>
  <si>
    <t>2 02 29999 10 0000 150</t>
  </si>
  <si>
    <t>2 02 19999 10 0000 150</t>
  </si>
  <si>
    <t>2 02 15002 10 0000 150</t>
  </si>
  <si>
    <t>2 02 15001 10 0000 150</t>
  </si>
  <si>
    <t>ОМС</t>
  </si>
  <si>
    <t>МБТ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</si>
  <si>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</si>
  <si>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83710</t>
  </si>
  <si>
    <t>62 0 15 83710</t>
  </si>
  <si>
    <t>225=</t>
  </si>
  <si>
    <t>226=</t>
  </si>
  <si>
    <t>340=</t>
  </si>
  <si>
    <t>221=</t>
  </si>
  <si>
    <t>223=</t>
  </si>
  <si>
    <t>Итого 244 =</t>
  </si>
  <si>
    <t>321</t>
  </si>
  <si>
    <t>630</t>
  </si>
  <si>
    <t>810</t>
  </si>
  <si>
    <t>999</t>
  </si>
  <si>
    <t>ГРБС</t>
  </si>
  <si>
    <t xml:space="preserve">Обеспечение реализации полномочий муниципального образования «Акуличское сельское поселение»  </t>
  </si>
  <si>
    <t>2 08 05000 10 0000 150</t>
  </si>
  <si>
    <t xml:space="preserve">к Решению Акуличского сельского Совета народных депутатов  "О бюджете муниципального образования "Акуличское сельское поселение" на 2019 год и плановый период 2020 и 2021 годов" </t>
  </si>
  <si>
    <t>Изменение распределения бюджетных ассигнований по ведомственной структуре расходов бюджета муниципального образования "Акуличское сельское поселение" на 2019 год  и на плановый период 2020 и 2021 годов</t>
  </si>
  <si>
    <t>Сумма на 2019год</t>
  </si>
  <si>
    <t>Изменения 2019 года</t>
  </si>
  <si>
    <t>Уточненный план на 2019 год</t>
  </si>
  <si>
    <t>Подготовка объектов ЖКХ к зиме</t>
  </si>
  <si>
    <t>62 0 15 81800</t>
  </si>
  <si>
    <t>Мероприятия по благоустройству</t>
  </si>
  <si>
    <t>62 0 15 81730</t>
  </si>
  <si>
    <t>Эксплуатация и содержание имущества, находящегося в муниципальной собственности, арендованного недвижимого имущества</t>
  </si>
  <si>
    <t>62 0 11 80930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</si>
  <si>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</si>
  <si>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Изменение распределения расходов бюджета муниципального образования "Акуличское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</si>
  <si>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80930</t>
  </si>
  <si>
    <t>81730</t>
  </si>
  <si>
    <t>81800</t>
  </si>
  <si>
    <t>к Решению Акуличского сельского Совета народных депутатов  "О внесении изменений в Решение Акуличского сельского Совета народных депутатов "О бюджете муниципального образования «Акуличское сельское поселение» на 2019 год и на плановый период 2020 и 2021 годов"</t>
  </si>
  <si>
    <t xml:space="preserve">к Решению  Акуличского сельского Совета народных депутатов  "О внесении изменений в Решение  Акуличского сельского Совета народных депутатов "О бюджете муниципального образования "Акуличское сельское поселение" на 2018 год и на плановый период 2019 и 2020 годов"  </t>
  </si>
  <si>
    <t>Приложение 1.1</t>
  </si>
  <si>
    <t>руб.</t>
  </si>
  <si>
    <t>2 02 30000 00 0000 151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</si>
  <si>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</si>
  <si>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</si>
  <si>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</si>
  <si>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</si>
  <si>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</si>
  <si>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к Решению  Акуличского сельского Совета народных депутатов "О бюджете муниципального образования "Акуличское сельское поселение" на 2019 год и на плановый период 2020 и 2021 годов"</t>
  </si>
  <si>
    <t>Изменение прогнозируемых доходов бюджета муниципального образования "Акуличское сельское поселение" на 2019 год и на плановый период 2020 и 2021 годов</t>
  </si>
  <si>
    <t>Приложение 8.2</t>
  </si>
  <si>
    <t xml:space="preserve">Социальная политика </t>
  </si>
  <si>
    <t>Пенсионное обеспечение</t>
  </si>
  <si>
    <t>65 0 17 82450</t>
  </si>
  <si>
    <t>Выплата муниципальных пенсий (доплат к государственным пенсиям)</t>
  </si>
  <si>
    <t>62 0 17 82450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</si>
  <si>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</si>
  <si>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</si>
  <si>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</si>
  <si>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</si>
  <si>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 82450</t>
  </si>
  <si>
    <t>Приложение 6.4</t>
  </si>
  <si>
    <t>Приложение 7.4</t>
  </si>
  <si>
    <t>62 0 11 80020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</si>
  <si>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</si>
  <si>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 2019 года</t>
  </si>
  <si>
    <t>Изменение на 2019 год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</si>
</sst>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_ ;[Red]\-#,##0\ "/>
    <numFmt numFmtId="191" formatCode="#,##0.000_ ;[Red]\-#,##0.000\ "/>
    <numFmt numFmtId="192" formatCode="#,##0.000"/>
    <numFmt numFmtId="193" formatCode="#,##0.0_р_."/>
    <numFmt numFmtId="194" formatCode="#,##0.0"/>
    <numFmt numFmtId="195" formatCode="#,##0.0000"/>
    <numFmt numFmtId="196" formatCode="0.00000000"/>
    <numFmt numFmtId="197" formatCode="0.0000000"/>
    <numFmt numFmtId="198" formatCode="0.000000"/>
    <numFmt numFmtId="199" formatCode="0.0000"/>
    <numFmt numFmtId="200" formatCode="0.0000000000"/>
    <numFmt numFmtId="201" formatCode="0.00000000000"/>
    <numFmt numFmtId="202" formatCode="0.000000000000"/>
    <numFmt numFmtId="203" formatCode="0.000000000"/>
    <numFmt numFmtId="204" formatCode="0.00000"/>
    <numFmt numFmtId="205" formatCode="_-* #,##0.000_р_._-;\-* #,##0.000_р_._-;_-* &quot;-&quot;?_р_._-;_-@_-"/>
    <numFmt numFmtId="206" formatCode="_-* #,##0.000_р_._-;\-* #,##0.000_р_._-;_-* &quot;-&quot;?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_р_."/>
    <numFmt numFmtId="213" formatCode="#,##0.0_ ;[Red]\-#,##0.0\ "/>
    <numFmt numFmtId="214" formatCode="_(* #,##0.000_);_(* \(#,##0.000\);_(* &quot;-&quot;??_);_(@_)"/>
    <numFmt numFmtId="215" formatCode="_(* #,##0.0000_);_(* \(#,##0.0000\);_(* &quot;-&quot;??_);_(@_)"/>
    <numFmt numFmtId="216" formatCode="[$-FC19]d\ mmmm\ yyyy\ &quot;г.&quot;"/>
    <numFmt numFmtId="217" formatCode="#&quot; &quot;???/???"/>
    <numFmt numFmtId="218" formatCode="0000"/>
    <numFmt numFmtId="219" formatCode="#,##0.000_р_."/>
    <numFmt numFmtId="220" formatCode="_(* #,##0.0_);_(* \(#,##0.0\);_(* &quot;-&quot;??_);_(@_)"/>
    <numFmt numFmtId="221" formatCode="_-* #,##0.0_р_._-;\-* #,##0.0_р_._-;_-* &quot;-&quot;??_р_._-;_-@_-"/>
    <numFmt numFmtId="222" formatCode="#,##0.00_ ;[Red]\-#,##0.00\ "/>
  </numFmts>
  <fonts count="8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0"/>
      <name val="Times New Roman Cyr"/>
      <family val="0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59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 Cyr"/>
      <family val="0"/>
    </font>
    <font>
      <sz val="8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 Cyr"/>
      <family val="0"/>
    </font>
    <font>
      <sz val="8"/>
      <color theme="0"/>
      <name val="Arial Cyr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8" fontId="0" fillId="0" borderId="0" xfId="0" applyNumberFormat="1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192" fontId="0" fillId="0" borderId="10" xfId="0" applyNumberFormat="1" applyFont="1" applyFill="1" applyBorder="1" applyAlignment="1">
      <alignment vertical="top"/>
    </xf>
    <xf numFmtId="192" fontId="1" fillId="0" borderId="1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 wrapText="1"/>
      <protection/>
    </xf>
    <xf numFmtId="0" fontId="0" fillId="0" borderId="13" xfId="62" applyFont="1" applyFill="1" applyBorder="1" applyAlignment="1">
      <alignment vertical="top"/>
      <protection/>
    </xf>
    <xf numFmtId="0" fontId="4" fillId="0" borderId="0" xfId="62" applyFont="1" applyFill="1" applyAlignment="1">
      <alignment vertical="top"/>
      <protection/>
    </xf>
    <xf numFmtId="0" fontId="1" fillId="0" borderId="0" xfId="62" applyFont="1" applyFill="1" applyAlignment="1">
      <alignment vertical="top"/>
      <protection/>
    </xf>
    <xf numFmtId="0" fontId="0" fillId="0" borderId="0" xfId="62" applyFont="1" applyFill="1" applyBorder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1" fillId="0" borderId="0" xfId="62" applyFont="1" applyFill="1" applyAlignment="1">
      <alignment horizontal="left" vertical="top"/>
      <protection/>
    </xf>
    <xf numFmtId="49" fontId="7" fillId="0" borderId="0" xfId="62" applyNumberFormat="1" applyFont="1" applyFill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62" applyFont="1" applyFill="1" applyAlignment="1">
      <alignment horizontal="left" vertical="top" wrapText="1"/>
      <protection/>
    </xf>
    <xf numFmtId="49" fontId="3" fillId="0" borderId="0" xfId="62" applyNumberFormat="1" applyFont="1" applyFill="1" applyAlignment="1">
      <alignment horizontal="left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0" xfId="62" applyFont="1" applyFill="1" applyAlignment="1">
      <alignment vertical="top"/>
      <protection/>
    </xf>
    <xf numFmtId="0" fontId="0" fillId="0" borderId="0" xfId="65" applyAlignment="1">
      <alignment horizontal="center" vertical="center"/>
      <protection/>
    </xf>
    <xf numFmtId="192" fontId="1" fillId="0" borderId="10" xfId="62" applyNumberFormat="1" applyFont="1" applyFill="1" applyBorder="1" applyAlignment="1">
      <alignment horizontal="right" vertical="top" wrapText="1"/>
      <protection/>
    </xf>
    <xf numFmtId="0" fontId="10" fillId="0" borderId="10" xfId="65" applyFont="1" applyFill="1" applyBorder="1" applyAlignment="1">
      <alignment vertical="top" wrapText="1"/>
      <protection/>
    </xf>
    <xf numFmtId="0" fontId="1" fillId="0" borderId="0" xfId="65" applyFont="1" applyFill="1" applyAlignment="1">
      <alignment vertical="top"/>
      <protection/>
    </xf>
    <xf numFmtId="0" fontId="0" fillId="0" borderId="0" xfId="65" applyFont="1" applyFill="1" applyBorder="1" applyAlignment="1">
      <alignment vertical="top"/>
      <protection/>
    </xf>
    <xf numFmtId="0" fontId="1" fillId="0" borderId="0" xfId="65" applyFont="1" applyFill="1" applyBorder="1" applyAlignment="1">
      <alignment vertical="top"/>
      <protection/>
    </xf>
    <xf numFmtId="0" fontId="0" fillId="0" borderId="0" xfId="65" applyFont="1" applyFill="1" applyAlignment="1">
      <alignment vertical="top" wrapText="1"/>
      <protection/>
    </xf>
    <xf numFmtId="0" fontId="10" fillId="0" borderId="10" xfId="62" applyFont="1" applyFill="1" applyBorder="1" applyAlignment="1">
      <alignment horizontal="center" vertical="top" wrapText="1"/>
      <protection/>
    </xf>
    <xf numFmtId="192" fontId="10" fillId="0" borderId="10" xfId="62" applyNumberFormat="1" applyFont="1" applyFill="1" applyBorder="1" applyAlignment="1">
      <alignment vertical="top"/>
      <protection/>
    </xf>
    <xf numFmtId="0" fontId="14" fillId="32" borderId="10" xfId="62" applyFont="1" applyFill="1" applyBorder="1" applyAlignment="1">
      <alignment vertical="top"/>
      <protection/>
    </xf>
    <xf numFmtId="0" fontId="10" fillId="0" borderId="10" xfId="65" applyFont="1" applyFill="1" applyBorder="1" applyAlignment="1">
      <alignment horizontal="justify" vertical="top" wrapText="1"/>
      <protection/>
    </xf>
    <xf numFmtId="0" fontId="70" fillId="32" borderId="10" xfId="65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65" applyFont="1" applyAlignment="1">
      <alignment horizontal="center" vertical="top" wrapText="1"/>
      <protection/>
    </xf>
    <xf numFmtId="0" fontId="0" fillId="0" borderId="0" xfId="65" applyFont="1" applyAlignment="1">
      <alignment vertical="top" wrapText="1"/>
      <protection/>
    </xf>
    <xf numFmtId="0" fontId="3" fillId="0" borderId="0" xfId="65" applyFont="1" applyAlignment="1">
      <alignment vertical="top" wrapText="1"/>
      <protection/>
    </xf>
    <xf numFmtId="0" fontId="10" fillId="0" borderId="10" xfId="65" applyFont="1" applyBorder="1" applyAlignment="1">
      <alignment horizontal="left" vertical="top" wrapText="1"/>
      <protection/>
    </xf>
    <xf numFmtId="0" fontId="0" fillId="0" borderId="0" xfId="65" applyFont="1" applyBorder="1" applyAlignment="1">
      <alignment vertical="top" wrapText="1"/>
      <protection/>
    </xf>
    <xf numFmtId="0" fontId="71" fillId="32" borderId="0" xfId="65" applyFont="1" applyFill="1" applyAlignment="1">
      <alignment vertical="top" wrapText="1"/>
      <protection/>
    </xf>
    <xf numFmtId="0" fontId="0" fillId="0" borderId="0" xfId="65" applyFont="1" applyBorder="1" applyAlignment="1">
      <alignment horizontal="center" vertical="top" wrapText="1"/>
      <protection/>
    </xf>
    <xf numFmtId="0" fontId="9" fillId="0" borderId="0" xfId="65" applyFont="1" applyAlignment="1">
      <alignment horizontal="center"/>
      <protection/>
    </xf>
    <xf numFmtId="49" fontId="3" fillId="0" borderId="0" xfId="0" applyNumberFormat="1" applyFont="1" applyFill="1" applyBorder="1" applyAlignment="1">
      <alignment vertical="top" wrapText="1"/>
    </xf>
    <xf numFmtId="0" fontId="0" fillId="32" borderId="10" xfId="62" applyFont="1" applyFill="1" applyBorder="1" applyAlignment="1">
      <alignment horizontal="left"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72" fillId="32" borderId="10" xfId="65" applyFont="1" applyFill="1" applyBorder="1" applyAlignment="1">
      <alignment horizontal="left"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13" fillId="32" borderId="10" xfId="62" applyFont="1" applyFill="1" applyBorder="1" applyAlignment="1">
      <alignment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top" wrapText="1"/>
    </xf>
    <xf numFmtId="49" fontId="3" fillId="32" borderId="0" xfId="65" applyNumberFormat="1" applyFont="1" applyFill="1" applyAlignment="1">
      <alignment vertical="top" wrapText="1"/>
      <protection/>
    </xf>
    <xf numFmtId="0" fontId="0" fillId="32" borderId="0" xfId="65" applyFont="1" applyFill="1" applyAlignment="1">
      <alignment vertical="top" wrapText="1"/>
      <protection/>
    </xf>
    <xf numFmtId="0" fontId="0" fillId="32" borderId="13" xfId="65" applyFont="1" applyFill="1" applyBorder="1" applyAlignment="1">
      <alignment vertical="top" wrapText="1"/>
      <protection/>
    </xf>
    <xf numFmtId="0" fontId="0" fillId="32" borderId="10" xfId="65" applyFont="1" applyFill="1" applyBorder="1" applyAlignment="1">
      <alignment vertical="top" wrapText="1"/>
      <protection/>
    </xf>
    <xf numFmtId="0" fontId="9" fillId="32" borderId="10" xfId="65" applyFont="1" applyFill="1" applyBorder="1" applyAlignment="1">
      <alignment vertical="top" wrapText="1"/>
      <protection/>
    </xf>
    <xf numFmtId="0" fontId="0" fillId="32" borderId="10" xfId="65" applyFont="1" applyFill="1" applyBorder="1" applyAlignment="1">
      <alignment horizontal="left" vertical="top" wrapText="1"/>
      <protection/>
    </xf>
    <xf numFmtId="0" fontId="71" fillId="32" borderId="10" xfId="65" applyFont="1" applyFill="1" applyBorder="1" applyAlignment="1">
      <alignment vertical="top" wrapText="1"/>
      <protection/>
    </xf>
    <xf numFmtId="0" fontId="0" fillId="32" borderId="10" xfId="0" applyFont="1" applyFill="1" applyBorder="1" applyAlignment="1">
      <alignment vertical="top" wrapText="1"/>
    </xf>
    <xf numFmtId="0" fontId="0" fillId="32" borderId="0" xfId="65" applyFont="1" applyFill="1" applyBorder="1" applyAlignment="1">
      <alignment vertical="top" wrapText="1"/>
      <protection/>
    </xf>
    <xf numFmtId="0" fontId="9" fillId="32" borderId="0" xfId="65" applyFont="1" applyFill="1">
      <alignment/>
      <protection/>
    </xf>
    <xf numFmtId="4" fontId="10" fillId="0" borderId="10" xfId="62" applyNumberFormat="1" applyFont="1" applyFill="1" applyBorder="1" applyAlignment="1">
      <alignment vertical="top"/>
      <protection/>
    </xf>
    <xf numFmtId="4" fontId="13" fillId="0" borderId="10" xfId="62" applyNumberFormat="1" applyFont="1" applyFill="1" applyBorder="1" applyAlignment="1">
      <alignment vertical="top"/>
      <protection/>
    </xf>
    <xf numFmtId="4" fontId="13" fillId="0" borderId="10" xfId="62" applyNumberFormat="1" applyFont="1" applyFill="1" applyBorder="1" applyAlignment="1">
      <alignment horizontal="right" vertical="top" wrapText="1"/>
      <protection/>
    </xf>
    <xf numFmtId="4" fontId="12" fillId="0" borderId="10" xfId="62" applyNumberFormat="1" applyFont="1" applyFill="1" applyBorder="1" applyAlignment="1">
      <alignment horizontal="right" vertical="top" wrapText="1"/>
      <protection/>
    </xf>
    <xf numFmtId="49" fontId="0" fillId="0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71" fillId="0" borderId="0" xfId="0" applyFont="1" applyAlignment="1">
      <alignment horizontal="center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0" fillId="0" borderId="10" xfId="42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21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0" applyFont="1" applyAlignment="1">
      <alignment/>
    </xf>
    <xf numFmtId="49" fontId="20" fillId="0" borderId="0" xfId="0" applyNumberFormat="1" applyFont="1" applyFill="1" applyAlignment="1">
      <alignment horizontal="left" vertical="top" wrapText="1"/>
    </xf>
    <xf numFmtId="0" fontId="21" fillId="0" borderId="0" xfId="6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66" applyFont="1" applyFill="1" applyBorder="1" applyAlignment="1">
      <alignment horizontal="center" wrapText="1"/>
      <protection/>
    </xf>
    <xf numFmtId="0" fontId="0" fillId="0" borderId="10" xfId="66" applyFont="1" applyFill="1" applyBorder="1" applyAlignment="1">
      <alignment horizontal="center" vertical="top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0" fontId="22" fillId="0" borderId="10" xfId="66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222" fontId="0" fillId="0" borderId="10" xfId="66" applyNumberFormat="1" applyFont="1" applyFill="1" applyBorder="1" applyAlignment="1">
      <alignment horizontal="center" vertical="center"/>
      <protection/>
    </xf>
    <xf numFmtId="222" fontId="1" fillId="0" borderId="10" xfId="66" applyNumberFormat="1" applyFont="1" applyFill="1" applyBorder="1" applyAlignment="1">
      <alignment horizontal="center" vertical="center"/>
      <protection/>
    </xf>
    <xf numFmtId="222" fontId="0" fillId="0" borderId="0" xfId="0" applyNumberFormat="1" applyFont="1" applyAlignment="1">
      <alignment/>
    </xf>
    <xf numFmtId="0" fontId="0" fillId="0" borderId="0" xfId="64" applyFont="1" applyFill="1" applyAlignment="1">
      <alignment vertical="top" wrapText="1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64" applyFont="1" applyFill="1" applyAlignment="1">
      <alignment horizontal="center" vertical="top"/>
      <protection/>
    </xf>
    <xf numFmtId="0" fontId="0" fillId="0" borderId="0" xfId="64" applyFont="1" applyFill="1" applyAlignment="1">
      <alignment vertical="top"/>
      <protection/>
    </xf>
    <xf numFmtId="0" fontId="3" fillId="0" borderId="0" xfId="64" applyFont="1" applyFill="1" applyAlignment="1">
      <alignment horizontal="left" vertical="top"/>
      <protection/>
    </xf>
    <xf numFmtId="0" fontId="3" fillId="0" borderId="0" xfId="64" applyFont="1" applyFill="1" applyAlignment="1">
      <alignment vertical="top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64" applyFont="1" applyFill="1" applyAlignment="1">
      <alignment horizontal="right"/>
      <protection/>
    </xf>
    <xf numFmtId="0" fontId="0" fillId="0" borderId="10" xfId="64" applyFont="1" applyFill="1" applyBorder="1" applyAlignment="1">
      <alignment horizontal="center" vertical="top" wrapText="1"/>
      <protection/>
    </xf>
    <xf numFmtId="49" fontId="0" fillId="0" borderId="10" xfId="64" applyNumberFormat="1" applyFont="1" applyFill="1" applyBorder="1" applyAlignment="1">
      <alignment horizontal="center" vertical="top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vertical="center"/>
      <protection/>
    </xf>
    <xf numFmtId="188" fontId="0" fillId="0" borderId="0" xfId="64" applyNumberFormat="1" applyFont="1" applyFill="1" applyAlignment="1">
      <alignment vertical="top" wrapText="1"/>
      <protection/>
    </xf>
    <xf numFmtId="0" fontId="17" fillId="0" borderId="0" xfId="64" applyFont="1" applyFill="1" applyAlignment="1">
      <alignment vertical="top" wrapText="1"/>
      <protection/>
    </xf>
    <xf numFmtId="0" fontId="23" fillId="0" borderId="0" xfId="64" applyFont="1" applyFill="1" applyAlignment="1">
      <alignment vertical="top" wrapText="1"/>
      <protection/>
    </xf>
    <xf numFmtId="4" fontId="0" fillId="0" borderId="10" xfId="64" applyNumberFormat="1" applyFont="1" applyFill="1" applyBorder="1" applyAlignment="1">
      <alignment horizontal="center" vertical="top" wrapText="1"/>
      <protection/>
    </xf>
    <xf numFmtId="4" fontId="0" fillId="0" borderId="10" xfId="0" applyNumberFormat="1" applyFont="1" applyFill="1" applyBorder="1" applyAlignment="1">
      <alignment horizontal="center" vertical="top" wrapText="1"/>
    </xf>
    <xf numFmtId="4" fontId="1" fillId="0" borderId="10" xfId="64" applyNumberFormat="1" applyFont="1" applyFill="1" applyBorder="1" applyAlignment="1">
      <alignment horizontal="center" vertical="center" wrapText="1"/>
      <protection/>
    </xf>
    <xf numFmtId="0" fontId="13" fillId="0" borderId="11" xfId="62" applyFont="1" applyFill="1" applyBorder="1" applyAlignment="1">
      <alignment horizontal="left" vertical="top" wrapText="1"/>
      <protection/>
    </xf>
    <xf numFmtId="0" fontId="0" fillId="0" borderId="0" xfId="65" applyAlignment="1">
      <alignment horizontal="center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62" applyNumberFormat="1" applyFont="1" applyFill="1" applyBorder="1" applyAlignment="1">
      <alignment horizontal="center" vertical="top"/>
      <protection/>
    </xf>
    <xf numFmtId="0" fontId="12" fillId="0" borderId="10" xfId="62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62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62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left" vertical="top" wrapText="1"/>
      <protection/>
    </xf>
    <xf numFmtId="0" fontId="10" fillId="0" borderId="10" xfId="65" applyFont="1" applyFill="1" applyBorder="1" applyAlignment="1">
      <alignment horizontal="left" vertical="top" wrapText="1"/>
      <protection/>
    </xf>
    <xf numFmtId="4" fontId="0" fillId="0" borderId="10" xfId="62" applyNumberFormat="1" applyFont="1" applyFill="1" applyBorder="1" applyAlignment="1">
      <alignment vertical="top"/>
      <protection/>
    </xf>
    <xf numFmtId="0" fontId="10" fillId="0" borderId="10" xfId="62" applyFont="1" applyFill="1" applyBorder="1" applyAlignment="1">
      <alignment vertical="top"/>
      <protection/>
    </xf>
    <xf numFmtId="0" fontId="70" fillId="0" borderId="10" xfId="65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65" applyFont="1" applyFill="1" applyBorder="1" applyAlignment="1">
      <alignment vertical="top" wrapText="1"/>
      <protection/>
    </xf>
    <xf numFmtId="0" fontId="10" fillId="0" borderId="10" xfId="62" applyFont="1" applyFill="1" applyBorder="1" applyAlignment="1">
      <alignment vertical="top" wrapText="1"/>
      <protection/>
    </xf>
    <xf numFmtId="0" fontId="10" fillId="0" borderId="11" xfId="62" applyFont="1" applyFill="1" applyBorder="1" applyAlignment="1">
      <alignment vertical="top" wrapText="1"/>
      <protection/>
    </xf>
    <xf numFmtId="0" fontId="13" fillId="0" borderId="11" xfId="62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top"/>
    </xf>
    <xf numFmtId="49" fontId="13" fillId="0" borderId="10" xfId="62" applyNumberFormat="1" applyFont="1" applyFill="1" applyBorder="1" applyAlignment="1">
      <alignment horizontal="center" vertical="top"/>
      <protection/>
    </xf>
    <xf numFmtId="49" fontId="74" fillId="0" borderId="10" xfId="47" applyNumberFormat="1" applyFont="1" applyFill="1" applyBorder="1" applyAlignment="1">
      <alignment horizontal="center" vertical="top" wrapText="1"/>
    </xf>
    <xf numFmtId="49" fontId="13" fillId="32" borderId="10" xfId="62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top"/>
    </xf>
    <xf numFmtId="49" fontId="13" fillId="0" borderId="10" xfId="62" applyNumberFormat="1" applyFont="1" applyFill="1" applyBorder="1" applyAlignment="1">
      <alignment horizontal="center" vertical="top" wrapText="1"/>
      <protection/>
    </xf>
    <xf numFmtId="0" fontId="14" fillId="0" borderId="10" xfId="62" applyFont="1" applyFill="1" applyBorder="1" applyAlignment="1">
      <alignment horizontal="left" vertical="top" wrapText="1"/>
      <protection/>
    </xf>
    <xf numFmtId="0" fontId="14" fillId="0" borderId="10" xfId="62" applyFont="1" applyFill="1" applyBorder="1" applyAlignment="1">
      <alignment vertical="top"/>
      <protection/>
    </xf>
    <xf numFmtId="0" fontId="13" fillId="0" borderId="11" xfId="65" applyFont="1" applyFill="1" applyBorder="1" applyAlignment="1">
      <alignment vertical="top" wrapText="1"/>
      <protection/>
    </xf>
    <xf numFmtId="0" fontId="74" fillId="0" borderId="10" xfId="65" applyFont="1" applyFill="1" applyBorder="1" applyAlignment="1">
      <alignment horizontal="left" vertical="top" wrapText="1"/>
      <protection/>
    </xf>
    <xf numFmtId="0" fontId="13" fillId="0" borderId="10" xfId="65" applyFont="1" applyFill="1" applyBorder="1" applyAlignment="1">
      <alignment horizontal="center" vertical="top"/>
      <protection/>
    </xf>
    <xf numFmtId="49" fontId="13" fillId="0" borderId="10" xfId="65" applyNumberFormat="1" applyFont="1" applyFill="1" applyBorder="1" applyAlignment="1">
      <alignment horizontal="center" vertical="top"/>
      <protection/>
    </xf>
    <xf numFmtId="49" fontId="13" fillId="0" borderId="10" xfId="0" applyNumberFormat="1" applyFont="1" applyFill="1" applyBorder="1" applyAlignment="1">
      <alignment horizontal="center" vertical="top"/>
    </xf>
    <xf numFmtId="4" fontId="13" fillId="0" borderId="10" xfId="65" applyNumberFormat="1" applyFont="1" applyFill="1" applyBorder="1" applyAlignment="1">
      <alignment vertical="top"/>
      <protection/>
    </xf>
    <xf numFmtId="0" fontId="10" fillId="0" borderId="10" xfId="65" applyFont="1" applyFill="1" applyBorder="1" applyAlignment="1">
      <alignment horizontal="center" vertical="top"/>
      <protection/>
    </xf>
    <xf numFmtId="49" fontId="10" fillId="0" borderId="10" xfId="65" applyNumberFormat="1" applyFont="1" applyFill="1" applyBorder="1" applyAlignment="1">
      <alignment horizontal="center" vertical="top"/>
      <protection/>
    </xf>
    <xf numFmtId="49" fontId="10" fillId="0" borderId="10" xfId="0" applyNumberFormat="1" applyFont="1" applyFill="1" applyBorder="1" applyAlignment="1">
      <alignment horizontal="center" vertical="top"/>
    </xf>
    <xf numFmtId="4" fontId="10" fillId="0" borderId="10" xfId="65" applyNumberFormat="1" applyFont="1" applyFill="1" applyBorder="1" applyAlignment="1">
      <alignment vertical="top"/>
      <protection/>
    </xf>
    <xf numFmtId="0" fontId="10" fillId="0" borderId="11" xfId="62" applyFont="1" applyFill="1" applyBorder="1" applyAlignment="1">
      <alignment vertical="top"/>
      <protection/>
    </xf>
    <xf numFmtId="0" fontId="74" fillId="0" borderId="14" xfId="65" applyFont="1" applyFill="1" applyBorder="1" applyAlignment="1">
      <alignment horizontal="left" vertical="top" wrapText="1"/>
      <protection/>
    </xf>
    <xf numFmtId="49" fontId="74" fillId="0" borderId="10" xfId="45" applyNumberFormat="1" applyFont="1" applyFill="1" applyBorder="1" applyAlignment="1">
      <alignment horizontal="center" vertical="top" wrapText="1"/>
    </xf>
    <xf numFmtId="0" fontId="10" fillId="0" borderId="10" xfId="65" applyFont="1" applyBorder="1" applyAlignment="1">
      <alignment horizontal="center" vertical="top"/>
      <protection/>
    </xf>
    <xf numFmtId="0" fontId="10" fillId="0" borderId="10" xfId="0" applyFont="1" applyBorder="1" applyAlignment="1">
      <alignment horizontal="center" vertical="top"/>
    </xf>
    <xf numFmtId="0" fontId="13" fillId="0" borderId="15" xfId="62" applyFont="1" applyFill="1" applyBorder="1" applyAlignment="1">
      <alignment vertical="top" wrapText="1"/>
      <protection/>
    </xf>
    <xf numFmtId="0" fontId="10" fillId="0" borderId="10" xfId="62" applyFont="1" applyFill="1" applyBorder="1" applyAlignment="1">
      <alignment horizontal="left" vertical="top" wrapText="1"/>
      <protection/>
    </xf>
    <xf numFmtId="0" fontId="13" fillId="0" borderId="10" xfId="65" applyFont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62" applyFont="1" applyFill="1" applyBorder="1" applyAlignment="1">
      <alignment horizontal="center" vertical="top"/>
      <protection/>
    </xf>
    <xf numFmtId="4" fontId="12" fillId="0" borderId="10" xfId="62" applyNumberFormat="1" applyFont="1" applyFill="1" applyBorder="1" applyAlignment="1">
      <alignment vertical="top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49" fontId="10" fillId="0" borderId="10" xfId="62" applyNumberFormat="1" applyFont="1" applyFill="1" applyBorder="1" applyAlignment="1">
      <alignment horizontal="center" vertical="top" wrapText="1"/>
      <protection/>
    </xf>
    <xf numFmtId="0" fontId="70" fillId="0" borderId="16" xfId="0" applyFont="1" applyFill="1" applyBorder="1" applyAlignment="1">
      <alignment horizontal="center" vertical="top" wrapText="1"/>
    </xf>
    <xf numFmtId="0" fontId="13" fillId="0" borderId="10" xfId="62" applyFont="1" applyFill="1" applyBorder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0" fontId="11" fillId="0" borderId="10" xfId="62" applyFont="1" applyFill="1" applyBorder="1" applyAlignment="1">
      <alignment horizontal="left" vertical="top" wrapText="1"/>
      <protection/>
    </xf>
    <xf numFmtId="0" fontId="12" fillId="0" borderId="10" xfId="62" applyFont="1" applyFill="1" applyBorder="1" applyAlignment="1">
      <alignment horizontal="left" vertical="top" wrapText="1"/>
      <protection/>
    </xf>
    <xf numFmtId="4" fontId="13" fillId="0" borderId="10" xfId="62" applyNumberFormat="1" applyFont="1" applyFill="1" applyBorder="1" applyAlignment="1">
      <alignment horizontal="right" vertical="top"/>
      <protection/>
    </xf>
    <xf numFmtId="4" fontId="1" fillId="0" borderId="10" xfId="62" applyNumberFormat="1" applyFont="1" applyFill="1" applyBorder="1" applyAlignment="1">
      <alignment horizontal="right" vertical="top"/>
      <protection/>
    </xf>
    <xf numFmtId="0" fontId="13" fillId="0" borderId="10" xfId="62" applyFont="1" applyFill="1" applyBorder="1" applyAlignment="1">
      <alignment vertical="top" wrapText="1"/>
      <protection/>
    </xf>
    <xf numFmtId="2" fontId="7" fillId="0" borderId="0" xfId="62" applyNumberFormat="1" applyFont="1" applyFill="1" applyAlignment="1">
      <alignment horizontal="center" vertical="top"/>
      <protection/>
    </xf>
    <xf numFmtId="0" fontId="0" fillId="0" borderId="0" xfId="65" applyFont="1" applyFill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right" vertical="top"/>
    </xf>
    <xf numFmtId="0" fontId="3" fillId="32" borderId="10" xfId="65" applyFont="1" applyFill="1" applyBorder="1" applyAlignment="1">
      <alignment horizontal="center" vertical="top" wrapText="1"/>
      <protection/>
    </xf>
    <xf numFmtId="49" fontId="3" fillId="32" borderId="10" xfId="62" applyNumberFormat="1" applyFont="1" applyFill="1" applyBorder="1" applyAlignment="1">
      <alignment horizontal="center" vertical="top"/>
      <protection/>
    </xf>
    <xf numFmtId="0" fontId="1" fillId="0" borderId="10" xfId="62" applyFont="1" applyFill="1" applyBorder="1" applyAlignment="1">
      <alignment horizontal="center" vertical="top" wrapText="1"/>
      <protection/>
    </xf>
    <xf numFmtId="0" fontId="3" fillId="0" borderId="10" xfId="65" applyFont="1" applyFill="1" applyBorder="1" applyAlignment="1">
      <alignment horizontal="center" vertical="top" wrapText="1"/>
      <protection/>
    </xf>
    <xf numFmtId="0" fontId="13" fillId="0" borderId="10" xfId="65" applyFont="1" applyFill="1" applyBorder="1" applyAlignment="1">
      <alignment horizontal="center" vertical="top" wrapText="1"/>
      <protection/>
    </xf>
    <xf numFmtId="49" fontId="12" fillId="0" borderId="10" xfId="62" applyNumberFormat="1" applyFont="1" applyFill="1" applyBorder="1" applyAlignment="1">
      <alignment horizontal="center" vertical="top"/>
      <protection/>
    </xf>
    <xf numFmtId="49" fontId="70" fillId="0" borderId="10" xfId="45" applyNumberFormat="1" applyFont="1" applyFill="1" applyBorder="1" applyAlignment="1">
      <alignment horizontal="center" vertical="top" wrapText="1"/>
    </xf>
    <xf numFmtId="49" fontId="70" fillId="0" borderId="10" xfId="65" applyNumberFormat="1" applyFont="1" applyFill="1" applyBorder="1" applyAlignment="1">
      <alignment vertical="top" wrapText="1"/>
      <protection/>
    </xf>
    <xf numFmtId="49" fontId="10" fillId="32" borderId="10" xfId="62" applyNumberFormat="1" applyFont="1" applyFill="1" applyBorder="1" applyAlignment="1">
      <alignment horizontal="center" vertical="top"/>
      <protection/>
    </xf>
    <xf numFmtId="0" fontId="70" fillId="0" borderId="10" xfId="65" applyFont="1" applyFill="1" applyBorder="1" applyAlignment="1">
      <alignment horizontal="justify" vertical="top" wrapText="1"/>
      <protection/>
    </xf>
    <xf numFmtId="0" fontId="74" fillId="0" borderId="10" xfId="65" applyFont="1" applyFill="1" applyBorder="1" applyAlignment="1">
      <alignment horizontal="justify" vertical="top" wrapText="1"/>
      <protection/>
    </xf>
    <xf numFmtId="0" fontId="74" fillId="0" borderId="10" xfId="50" applyNumberFormat="1" applyFont="1" applyFill="1" applyBorder="1" applyAlignment="1">
      <alignment horizontal="justify" vertical="top" wrapText="1"/>
    </xf>
    <xf numFmtId="0" fontId="74" fillId="32" borderId="10" xfId="50" applyNumberFormat="1" applyFont="1" applyFill="1" applyBorder="1" applyAlignment="1">
      <alignment horizontal="justify" vertical="top" wrapText="1"/>
    </xf>
    <xf numFmtId="0" fontId="13" fillId="0" borderId="10" xfId="68" applyFont="1" applyFill="1" applyBorder="1" applyAlignment="1">
      <alignment horizontal="center" vertical="top" wrapText="1"/>
      <protection/>
    </xf>
    <xf numFmtId="0" fontId="10" fillId="32" borderId="10" xfId="62" applyFont="1" applyFill="1" applyBorder="1" applyAlignment="1">
      <alignment horizontal="center" vertical="top" wrapText="1"/>
      <protection/>
    </xf>
    <xf numFmtId="49" fontId="15" fillId="0" borderId="10" xfId="65" applyNumberFormat="1" applyFont="1" applyFill="1" applyBorder="1" applyAlignment="1">
      <alignment horizontal="center" vertical="top"/>
      <protection/>
    </xf>
    <xf numFmtId="49" fontId="13" fillId="0" borderId="10" xfId="62" applyNumberFormat="1" applyFont="1" applyFill="1" applyBorder="1" applyAlignment="1">
      <alignment horizontal="left" vertical="top"/>
      <protection/>
    </xf>
    <xf numFmtId="49" fontId="8" fillId="0" borderId="0" xfId="62" applyNumberFormat="1" applyFont="1" applyFill="1" applyAlignment="1">
      <alignment horizontal="center" vertical="top"/>
      <protection/>
    </xf>
    <xf numFmtId="0" fontId="10" fillId="32" borderId="10" xfId="65" applyFont="1" applyFill="1" applyBorder="1" applyAlignment="1">
      <alignment horizontal="center" vertical="top"/>
      <protection/>
    </xf>
    <xf numFmtId="0" fontId="10" fillId="0" borderId="10" xfId="65" applyFont="1" applyFill="1" applyBorder="1" applyAlignment="1">
      <alignment horizontal="center" vertical="top" wrapText="1"/>
      <protection/>
    </xf>
    <xf numFmtId="0" fontId="12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70" fillId="32" borderId="10" xfId="65" applyFont="1" applyFill="1" applyBorder="1" applyAlignment="1">
      <alignment horizontal="justify" vertical="top" wrapText="1"/>
      <protection/>
    </xf>
    <xf numFmtId="0" fontId="0" fillId="32" borderId="0" xfId="0" applyFont="1" applyFill="1" applyBorder="1" applyAlignment="1">
      <alignment vertical="top"/>
    </xf>
    <xf numFmtId="49" fontId="3" fillId="32" borderId="0" xfId="62" applyNumberFormat="1" applyFont="1" applyFill="1" applyAlignment="1">
      <alignment horizontal="left" vertical="top" wrapText="1"/>
      <protection/>
    </xf>
    <xf numFmtId="0" fontId="0" fillId="32" borderId="13" xfId="62" applyFont="1" applyFill="1" applyBorder="1" applyAlignment="1">
      <alignment vertical="top"/>
      <protection/>
    </xf>
    <xf numFmtId="49" fontId="12" fillId="32" borderId="10" xfId="62" applyNumberFormat="1" applyFont="1" applyFill="1" applyBorder="1" applyAlignment="1">
      <alignment horizontal="center" vertical="top"/>
      <protection/>
    </xf>
    <xf numFmtId="49" fontId="13" fillId="32" borderId="10" xfId="65" applyNumberFormat="1" applyFont="1" applyFill="1" applyBorder="1" applyAlignment="1">
      <alignment horizontal="center" vertical="top"/>
      <protection/>
    </xf>
    <xf numFmtId="49" fontId="70" fillId="32" borderId="10" xfId="45" applyNumberFormat="1" applyFont="1" applyFill="1" applyBorder="1" applyAlignment="1">
      <alignment horizontal="center" vertical="top" wrapText="1"/>
    </xf>
    <xf numFmtId="49" fontId="10" fillId="32" borderId="10" xfId="62" applyNumberFormat="1" applyFont="1" applyFill="1" applyBorder="1" applyAlignment="1">
      <alignment horizontal="center" vertical="top" wrapText="1"/>
      <protection/>
    </xf>
    <xf numFmtId="49" fontId="10" fillId="32" borderId="10" xfId="65" applyNumberFormat="1" applyFont="1" applyFill="1" applyBorder="1" applyAlignment="1">
      <alignment horizontal="center" vertical="top"/>
      <protection/>
    </xf>
    <xf numFmtId="49" fontId="13" fillId="32" borderId="10" xfId="62" applyNumberFormat="1" applyFont="1" applyFill="1" applyBorder="1" applyAlignment="1">
      <alignment horizontal="left" vertical="top"/>
      <protection/>
    </xf>
    <xf numFmtId="49" fontId="8" fillId="32" borderId="0" xfId="62" applyNumberFormat="1" applyFont="1" applyFill="1" applyAlignment="1">
      <alignment horizontal="center" vertical="top"/>
      <protection/>
    </xf>
    <xf numFmtId="0" fontId="24" fillId="0" borderId="0" xfId="0" applyFont="1" applyFill="1" applyBorder="1" applyAlignment="1">
      <alignment vertical="center" wrapText="1"/>
    </xf>
    <xf numFmtId="0" fontId="13" fillId="32" borderId="10" xfId="62" applyFont="1" applyFill="1" applyBorder="1" applyAlignment="1">
      <alignment horizontal="left" vertical="top" wrapText="1"/>
      <protection/>
    </xf>
    <xf numFmtId="2" fontId="0" fillId="0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74" fillId="0" borderId="11" xfId="65" applyFont="1" applyFill="1" applyBorder="1" applyAlignment="1">
      <alignment horizontal="justify"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49" fontId="74" fillId="32" borderId="10" xfId="45" applyNumberFormat="1" applyFont="1" applyFill="1" applyBorder="1" applyAlignment="1">
      <alignment horizontal="center" vertical="top" wrapText="1"/>
    </xf>
    <xf numFmtId="2" fontId="10" fillId="0" borderId="0" xfId="62" applyNumberFormat="1" applyFont="1" applyFill="1" applyAlignment="1">
      <alignment vertical="top"/>
      <protection/>
    </xf>
    <xf numFmtId="2" fontId="75" fillId="0" borderId="0" xfId="62" applyNumberFormat="1" applyFont="1" applyFill="1" applyAlignment="1">
      <alignment horizontal="center" vertical="top"/>
      <protection/>
    </xf>
    <xf numFmtId="2" fontId="76" fillId="0" borderId="0" xfId="62" applyNumberFormat="1" applyFont="1" applyFill="1" applyAlignment="1">
      <alignment horizontal="center" vertical="top"/>
      <protection/>
    </xf>
    <xf numFmtId="0" fontId="10" fillId="0" borderId="14" xfId="65" applyFont="1" applyFill="1" applyBorder="1" applyAlignment="1">
      <alignment horizontal="center" vertical="top" wrapText="1"/>
      <protection/>
    </xf>
    <xf numFmtId="0" fontId="70" fillId="0" borderId="14" xfId="65" applyFont="1" applyFill="1" applyBorder="1" applyAlignment="1">
      <alignment horizontal="left" vertical="top" wrapText="1"/>
      <protection/>
    </xf>
    <xf numFmtId="49" fontId="10" fillId="32" borderId="10" xfId="0" applyNumberFormat="1" applyFont="1" applyFill="1" applyBorder="1" applyAlignment="1">
      <alignment horizontal="center" vertical="top"/>
    </xf>
    <xf numFmtId="4" fontId="0" fillId="0" borderId="0" xfId="62" applyNumberFormat="1" applyFont="1" applyFill="1" applyAlignment="1">
      <alignment vertical="top"/>
      <protection/>
    </xf>
    <xf numFmtId="0" fontId="3" fillId="0" borderId="0" xfId="0" applyFont="1" applyFill="1" applyBorder="1" applyAlignment="1">
      <alignment horizontal="right"/>
    </xf>
    <xf numFmtId="4" fontId="3" fillId="0" borderId="0" xfId="62" applyNumberFormat="1" applyFont="1" applyFill="1" applyAlignment="1">
      <alignment vertical="top"/>
      <protection/>
    </xf>
    <xf numFmtId="0" fontId="10" fillId="32" borderId="0" xfId="0" applyFont="1" applyFill="1" applyAlignment="1">
      <alignment vertical="top" wrapText="1"/>
    </xf>
    <xf numFmtId="4" fontId="1" fillId="0" borderId="0" xfId="62" applyNumberFormat="1" applyFont="1" applyFill="1" applyAlignment="1">
      <alignment horizontal="left" vertical="top"/>
      <protection/>
    </xf>
    <xf numFmtId="4" fontId="77" fillId="0" borderId="10" xfId="62" applyNumberFormat="1" applyFont="1" applyFill="1" applyBorder="1" applyAlignment="1">
      <alignment vertical="top"/>
      <protection/>
    </xf>
    <xf numFmtId="0" fontId="0" fillId="32" borderId="0" xfId="62" applyFont="1" applyFill="1" applyAlignment="1">
      <alignment vertical="top"/>
      <protection/>
    </xf>
    <xf numFmtId="0" fontId="3" fillId="32" borderId="0" xfId="62" applyFont="1" applyFill="1" applyAlignment="1">
      <alignment horizontal="left" vertical="top" wrapText="1"/>
      <protection/>
    </xf>
    <xf numFmtId="49" fontId="7" fillId="32" borderId="0" xfId="62" applyNumberFormat="1" applyFont="1" applyFill="1" applyAlignment="1">
      <alignment horizontal="center" vertical="top"/>
      <protection/>
    </xf>
    <xf numFmtId="0" fontId="3" fillId="32" borderId="0" xfId="0" applyFont="1" applyFill="1" applyBorder="1" applyAlignment="1">
      <alignment horizontal="right" vertical="top"/>
    </xf>
    <xf numFmtId="0" fontId="3" fillId="32" borderId="10" xfId="62" applyFont="1" applyFill="1" applyBorder="1" applyAlignment="1">
      <alignment horizontal="center" vertical="top" wrapText="1"/>
      <protection/>
    </xf>
    <xf numFmtId="192" fontId="1" fillId="32" borderId="10" xfId="62" applyNumberFormat="1" applyFont="1" applyFill="1" applyBorder="1" applyAlignment="1">
      <alignment horizontal="right" vertical="top" wrapText="1"/>
      <protection/>
    </xf>
    <xf numFmtId="4" fontId="13" fillId="32" borderId="10" xfId="62" applyNumberFormat="1" applyFont="1" applyFill="1" applyBorder="1" applyAlignment="1">
      <alignment horizontal="right" vertical="top" wrapText="1"/>
      <protection/>
    </xf>
    <xf numFmtId="4" fontId="13" fillId="32" borderId="10" xfId="62" applyNumberFormat="1" applyFont="1" applyFill="1" applyBorder="1" applyAlignment="1">
      <alignment vertical="top"/>
      <protection/>
    </xf>
    <xf numFmtId="4" fontId="10" fillId="32" borderId="10" xfId="62" applyNumberFormat="1" applyFont="1" applyFill="1" applyBorder="1" applyAlignment="1">
      <alignment vertical="top"/>
      <protection/>
    </xf>
    <xf numFmtId="4" fontId="0" fillId="32" borderId="10" xfId="62" applyNumberFormat="1" applyFont="1" applyFill="1" applyBorder="1" applyAlignment="1">
      <alignment vertical="top"/>
      <protection/>
    </xf>
    <xf numFmtId="4" fontId="13" fillId="32" borderId="10" xfId="65" applyNumberFormat="1" applyFont="1" applyFill="1" applyBorder="1" applyAlignment="1">
      <alignment vertical="top"/>
      <protection/>
    </xf>
    <xf numFmtId="4" fontId="10" fillId="32" borderId="10" xfId="65" applyNumberFormat="1" applyFont="1" applyFill="1" applyBorder="1" applyAlignment="1">
      <alignment vertical="top"/>
      <protection/>
    </xf>
    <xf numFmtId="4" fontId="13" fillId="32" borderId="10" xfId="62" applyNumberFormat="1" applyFont="1" applyFill="1" applyBorder="1" applyAlignment="1">
      <alignment horizontal="right" vertical="top"/>
      <protection/>
    </xf>
    <xf numFmtId="4" fontId="1" fillId="32" borderId="10" xfId="62" applyNumberFormat="1" applyFont="1" applyFill="1" applyBorder="1" applyAlignment="1">
      <alignment horizontal="right" vertical="top"/>
      <protection/>
    </xf>
    <xf numFmtId="0" fontId="78" fillId="0" borderId="0" xfId="62" applyFont="1" applyFill="1" applyAlignment="1">
      <alignment vertical="top"/>
      <protection/>
    </xf>
    <xf numFmtId="0" fontId="78" fillId="0" borderId="0" xfId="62" applyFont="1" applyFill="1" applyAlignment="1">
      <alignment vertical="top" wrapText="1"/>
      <protection/>
    </xf>
    <xf numFmtId="0" fontId="78" fillId="0" borderId="0" xfId="65" applyFont="1" applyAlignment="1">
      <alignment horizontal="center" vertical="top"/>
      <protection/>
    </xf>
    <xf numFmtId="49" fontId="79" fillId="0" borderId="0" xfId="62" applyNumberFormat="1" applyFont="1" applyFill="1" applyAlignment="1">
      <alignment horizontal="center" vertical="top"/>
      <protection/>
    </xf>
    <xf numFmtId="49" fontId="80" fillId="0" borderId="0" xfId="62" applyNumberFormat="1" applyFont="1" applyFill="1" applyAlignment="1">
      <alignment horizontal="center" vertical="top"/>
      <protection/>
    </xf>
    <xf numFmtId="4" fontId="80" fillId="0" borderId="0" xfId="62" applyNumberFormat="1" applyFont="1" applyFill="1" applyAlignment="1">
      <alignment horizontal="center" vertical="top"/>
      <protection/>
    </xf>
    <xf numFmtId="4" fontId="78" fillId="0" borderId="0" xfId="62" applyNumberFormat="1" applyFont="1" applyFill="1" applyAlignment="1">
      <alignment vertical="top"/>
      <protection/>
    </xf>
    <xf numFmtId="0" fontId="78" fillId="32" borderId="0" xfId="65" applyFont="1" applyFill="1" applyBorder="1" applyAlignment="1">
      <alignment vertical="top"/>
      <protection/>
    </xf>
    <xf numFmtId="0" fontId="81" fillId="32" borderId="0" xfId="65" applyFont="1" applyFill="1" applyBorder="1" applyAlignment="1">
      <alignment horizontal="center" vertical="top"/>
      <protection/>
    </xf>
    <xf numFmtId="0" fontId="78" fillId="32" borderId="0" xfId="65" applyFont="1" applyFill="1" applyBorder="1" applyAlignment="1">
      <alignment horizontal="right" vertical="top"/>
      <protection/>
    </xf>
    <xf numFmtId="2" fontId="78" fillId="32" borderId="0" xfId="65" applyNumberFormat="1" applyFont="1" applyFill="1" applyBorder="1" applyAlignment="1">
      <alignment horizontal="center" vertical="top"/>
      <protection/>
    </xf>
    <xf numFmtId="0" fontId="78" fillId="32" borderId="0" xfId="62" applyFont="1" applyFill="1" applyBorder="1" applyAlignment="1">
      <alignment horizontal="right" vertical="top"/>
      <protection/>
    </xf>
    <xf numFmtId="2" fontId="78" fillId="32" borderId="0" xfId="62" applyNumberFormat="1" applyFont="1" applyFill="1" applyBorder="1" applyAlignment="1">
      <alignment horizontal="center" vertical="top"/>
      <protection/>
    </xf>
    <xf numFmtId="0" fontId="78" fillId="32" borderId="0" xfId="62" applyFont="1" applyFill="1" applyBorder="1" applyAlignment="1">
      <alignment vertical="top"/>
      <protection/>
    </xf>
    <xf numFmtId="4" fontId="78" fillId="32" borderId="0" xfId="65" applyNumberFormat="1" applyFont="1" applyFill="1" applyBorder="1" applyAlignment="1">
      <alignment horizontal="center" vertical="top"/>
      <protection/>
    </xf>
    <xf numFmtId="4" fontId="78" fillId="32" borderId="0" xfId="62" applyNumberFormat="1" applyFont="1" applyFill="1" applyBorder="1" applyAlignment="1">
      <alignment horizontal="center" vertical="top"/>
      <protection/>
    </xf>
    <xf numFmtId="0" fontId="81" fillId="32" borderId="0" xfId="62" applyFont="1" applyFill="1" applyBorder="1" applyAlignment="1">
      <alignment horizontal="right" vertical="top"/>
      <protection/>
    </xf>
    <xf numFmtId="2" fontId="81" fillId="32" borderId="0" xfId="62" applyNumberFormat="1" applyFont="1" applyFill="1" applyBorder="1" applyAlignment="1">
      <alignment vertical="top"/>
      <protection/>
    </xf>
    <xf numFmtId="4" fontId="7" fillId="0" borderId="0" xfId="62" applyNumberFormat="1" applyFont="1" applyFill="1" applyAlignment="1">
      <alignment horizontal="center" vertical="top"/>
      <protection/>
    </xf>
    <xf numFmtId="0" fontId="0" fillId="0" borderId="0" xfId="65" applyFill="1" applyAlignment="1">
      <alignment horizontal="center" vertical="top"/>
      <protection/>
    </xf>
    <xf numFmtId="49" fontId="3" fillId="0" borderId="0" xfId="0" applyNumberFormat="1" applyFont="1" applyAlignment="1">
      <alignment horizontal="left" vertical="top" wrapText="1"/>
    </xf>
    <xf numFmtId="0" fontId="10" fillId="0" borderId="14" xfId="62" applyFont="1" applyFill="1" applyBorder="1" applyAlignment="1">
      <alignment horizontal="left" vertical="top" wrapText="1"/>
      <protection/>
    </xf>
    <xf numFmtId="0" fontId="13" fillId="32" borderId="14" xfId="65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49" fontId="13" fillId="32" borderId="10" xfId="0" applyNumberFormat="1" applyFont="1" applyFill="1" applyBorder="1" applyAlignment="1">
      <alignment horizontal="center" vertical="top"/>
    </xf>
    <xf numFmtId="49" fontId="79" fillId="32" borderId="0" xfId="62" applyNumberFormat="1" applyFont="1" applyFill="1" applyAlignment="1">
      <alignment horizontal="center" vertical="top"/>
      <protection/>
    </xf>
    <xf numFmtId="0" fontId="10" fillId="0" borderId="0" xfId="62" applyFont="1" applyFill="1" applyAlignment="1">
      <alignment horizontal="left" vertical="top" wrapText="1"/>
      <protection/>
    </xf>
    <xf numFmtId="0" fontId="10" fillId="0" borderId="0" xfId="0" applyNumberFormat="1" applyFont="1" applyFill="1" applyBorder="1" applyAlignment="1">
      <alignment vertical="top" wrapText="1"/>
    </xf>
    <xf numFmtId="49" fontId="10" fillId="0" borderId="0" xfId="65" applyNumberFormat="1" applyFont="1" applyAlignment="1">
      <alignment vertical="top" wrapText="1"/>
      <protection/>
    </xf>
    <xf numFmtId="0" fontId="10" fillId="32" borderId="10" xfId="65" applyFont="1" applyFill="1" applyBorder="1" applyAlignment="1">
      <alignment horizontal="left" vertical="top" wrapText="1"/>
      <protection/>
    </xf>
    <xf numFmtId="0" fontId="10" fillId="32" borderId="14" xfId="65" applyFont="1" applyFill="1" applyBorder="1" applyAlignment="1">
      <alignment horizontal="left" vertical="top" wrapText="1"/>
      <protection/>
    </xf>
    <xf numFmtId="0" fontId="13" fillId="0" borderId="10" xfId="65" applyFont="1" applyFill="1" applyBorder="1" applyAlignment="1">
      <alignment vertical="top" wrapText="1"/>
      <protection/>
    </xf>
    <xf numFmtId="0" fontId="3" fillId="0" borderId="0" xfId="0" applyNumberFormat="1" applyFont="1" applyFill="1" applyBorder="1" applyAlignment="1">
      <alignment vertical="top" wrapText="1"/>
    </xf>
    <xf numFmtId="49" fontId="3" fillId="0" borderId="0" xfId="65" applyNumberFormat="1" applyFont="1" applyAlignment="1">
      <alignment vertical="top" wrapText="1"/>
      <protection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wrapText="1"/>
    </xf>
    <xf numFmtId="0" fontId="13" fillId="0" borderId="15" xfId="63" applyFont="1" applyFill="1" applyBorder="1" applyAlignment="1">
      <alignment vertical="top" wrapText="1"/>
      <protection/>
    </xf>
    <xf numFmtId="49" fontId="13" fillId="0" borderId="10" xfId="63" applyNumberFormat="1" applyFont="1" applyFill="1" applyBorder="1" applyAlignment="1">
      <alignment horizontal="center" vertical="top"/>
      <protection/>
    </xf>
    <xf numFmtId="0" fontId="0" fillId="0" borderId="11" xfId="0" applyFont="1" applyFill="1" applyBorder="1" applyAlignment="1">
      <alignment vertical="top" wrapText="1"/>
    </xf>
    <xf numFmtId="49" fontId="10" fillId="0" borderId="10" xfId="63" applyNumberFormat="1" applyFont="1" applyFill="1" applyBorder="1" applyAlignment="1">
      <alignment horizontal="center" vertical="top"/>
      <protection/>
    </xf>
    <xf numFmtId="0" fontId="10" fillId="0" borderId="15" xfId="63" applyFont="1" applyFill="1" applyBorder="1" applyAlignment="1">
      <alignment vertical="top" wrapText="1"/>
      <protection/>
    </xf>
    <xf numFmtId="0" fontId="7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justify" wrapText="1"/>
    </xf>
    <xf numFmtId="9" fontId="19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49" fontId="18" fillId="0" borderId="10" xfId="67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1" fillId="0" borderId="0" xfId="65" applyFont="1" applyAlignment="1">
      <alignment horizontal="center" vertical="top" wrapText="1"/>
      <protection/>
    </xf>
    <xf numFmtId="0" fontId="10" fillId="0" borderId="10" xfId="65" applyFont="1" applyBorder="1" applyAlignment="1">
      <alignment horizontal="center" vertical="top" wrapText="1"/>
      <protection/>
    </xf>
    <xf numFmtId="0" fontId="10" fillId="32" borderId="12" xfId="65" applyFont="1" applyFill="1" applyBorder="1" applyAlignment="1">
      <alignment horizontal="center" vertical="center" wrapText="1"/>
      <protection/>
    </xf>
    <xf numFmtId="0" fontId="10" fillId="32" borderId="17" xfId="65" applyFont="1" applyFill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0" fillId="0" borderId="15" xfId="65" applyFont="1" applyBorder="1" applyAlignment="1">
      <alignment horizontal="center" wrapText="1"/>
      <protection/>
    </xf>
    <xf numFmtId="0" fontId="0" fillId="0" borderId="14" xfId="65" applyFont="1" applyBorder="1" applyAlignment="1">
      <alignment horizontal="center" wrapText="1"/>
      <protection/>
    </xf>
    <xf numFmtId="0" fontId="0" fillId="32" borderId="11" xfId="65" applyFont="1" applyFill="1" applyBorder="1" applyAlignment="1">
      <alignment horizontal="center" vertical="top" wrapText="1"/>
      <protection/>
    </xf>
    <xf numFmtId="0" fontId="0" fillId="32" borderId="14" xfId="65" applyFill="1" applyBorder="1">
      <alignment/>
      <protection/>
    </xf>
    <xf numFmtId="0" fontId="0" fillId="32" borderId="14" xfId="65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32" borderId="10" xfId="65" applyFont="1" applyFill="1" applyBorder="1" applyAlignment="1">
      <alignment horizontal="center" vertical="top"/>
      <protection/>
    </xf>
    <xf numFmtId="0" fontId="71" fillId="32" borderId="10" xfId="65" applyFont="1" applyFill="1" applyBorder="1" applyAlignment="1">
      <alignment horizontal="center" vertical="top" wrapText="1"/>
      <protection/>
    </xf>
    <xf numFmtId="0" fontId="0" fillId="0" borderId="18" xfId="65" applyFont="1" applyFill="1" applyBorder="1" applyAlignment="1">
      <alignment horizontal="center" vertical="top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82" fillId="0" borderId="0" xfId="0" applyFont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0" fillId="0" borderId="11" xfId="65" applyFont="1" applyFill="1" applyBorder="1" applyAlignment="1">
      <alignment horizontal="left" vertical="top" wrapText="1"/>
      <protection/>
    </xf>
    <xf numFmtId="0" fontId="10" fillId="0" borderId="14" xfId="65" applyFont="1" applyFill="1" applyBorder="1" applyAlignment="1">
      <alignment horizontal="left" vertical="top" wrapText="1"/>
      <protection/>
    </xf>
    <xf numFmtId="0" fontId="13" fillId="0" borderId="11" xfId="62" applyFont="1" applyFill="1" applyBorder="1" applyAlignment="1">
      <alignment horizontal="left" vertical="top"/>
      <protection/>
    </xf>
    <xf numFmtId="0" fontId="13" fillId="0" borderId="14" xfId="62" applyFont="1" applyFill="1" applyBorder="1" applyAlignment="1">
      <alignment horizontal="left" vertical="top"/>
      <protection/>
    </xf>
    <xf numFmtId="0" fontId="10" fillId="0" borderId="11" xfId="62" applyFont="1" applyFill="1" applyBorder="1" applyAlignment="1">
      <alignment horizontal="left" vertical="top"/>
      <protection/>
    </xf>
    <xf numFmtId="0" fontId="10" fillId="0" borderId="14" xfId="62" applyFont="1" applyFill="1" applyBorder="1" applyAlignment="1">
      <alignment horizontal="left" vertical="top"/>
      <protection/>
    </xf>
    <xf numFmtId="0" fontId="13" fillId="0" borderId="11" xfId="62" applyFont="1" applyFill="1" applyBorder="1" applyAlignment="1">
      <alignment horizontal="left" vertical="top" wrapText="1"/>
      <protection/>
    </xf>
    <xf numFmtId="0" fontId="13" fillId="0" borderId="14" xfId="62" applyFont="1" applyFill="1" applyBorder="1" applyAlignment="1">
      <alignment horizontal="left" vertical="top" wrapText="1"/>
      <protection/>
    </xf>
    <xf numFmtId="0" fontId="10" fillId="32" borderId="11" xfId="65" applyFont="1" applyFill="1" applyBorder="1" applyAlignment="1">
      <alignment horizontal="justify" vertical="top" wrapText="1"/>
      <protection/>
    </xf>
    <xf numFmtId="0" fontId="10" fillId="32" borderId="14" xfId="65" applyFont="1" applyFill="1" applyBorder="1" applyAlignment="1">
      <alignment horizontal="justify" vertical="top" wrapText="1"/>
      <protection/>
    </xf>
    <xf numFmtId="0" fontId="13" fillId="0" borderId="11" xfId="65" applyFont="1" applyFill="1" applyBorder="1" applyAlignment="1">
      <alignment horizontal="left" vertical="top" wrapText="1"/>
      <protection/>
    </xf>
    <xf numFmtId="0" fontId="13" fillId="0" borderId="14" xfId="65" applyFont="1" applyFill="1" applyBorder="1" applyAlignment="1">
      <alignment horizontal="left" vertical="top" wrapText="1"/>
      <protection/>
    </xf>
    <xf numFmtId="0" fontId="13" fillId="32" borderId="11" xfId="65" applyFont="1" applyFill="1" applyBorder="1" applyAlignment="1">
      <alignment horizontal="left" vertical="top" wrapText="1"/>
      <protection/>
    </xf>
    <xf numFmtId="0" fontId="13" fillId="32" borderId="14" xfId="65" applyFont="1" applyFill="1" applyBorder="1" applyAlignment="1">
      <alignment horizontal="left" vertical="top" wrapText="1"/>
      <protection/>
    </xf>
    <xf numFmtId="0" fontId="1" fillId="0" borderId="10" xfId="62" applyFont="1" applyFill="1" applyBorder="1" applyAlignment="1">
      <alignment horizontal="left" vertical="top" wrapText="1"/>
      <protection/>
    </xf>
    <xf numFmtId="0" fontId="1" fillId="0" borderId="11" xfId="62" applyFont="1" applyFill="1" applyBorder="1" applyAlignment="1">
      <alignment horizontal="left" vertical="top" wrapText="1"/>
      <protection/>
    </xf>
    <xf numFmtId="0" fontId="1" fillId="0" borderId="14" xfId="62" applyFont="1" applyFill="1" applyBorder="1" applyAlignment="1">
      <alignment horizontal="left" vertical="top" wrapText="1"/>
      <protection/>
    </xf>
    <xf numFmtId="0" fontId="10" fillId="32" borderId="11" xfId="62" applyFont="1" applyFill="1" applyBorder="1" applyAlignment="1">
      <alignment horizontal="left" vertical="top" wrapText="1"/>
      <protection/>
    </xf>
    <xf numFmtId="0" fontId="10" fillId="32" borderId="14" xfId="62" applyFont="1" applyFill="1" applyBorder="1" applyAlignment="1">
      <alignment horizontal="left" vertical="top" wrapText="1"/>
      <protection/>
    </xf>
    <xf numFmtId="0" fontId="10" fillId="0" borderId="11" xfId="62" applyFont="1" applyFill="1" applyBorder="1" applyAlignment="1">
      <alignment horizontal="left" vertical="top" wrapText="1"/>
      <protection/>
    </xf>
    <xf numFmtId="0" fontId="10" fillId="0" borderId="14" xfId="62" applyFont="1" applyFill="1" applyBorder="1" applyAlignment="1">
      <alignment horizontal="left" vertical="top" wrapText="1"/>
      <protection/>
    </xf>
    <xf numFmtId="49" fontId="10" fillId="0" borderId="0" xfId="65" applyNumberFormat="1" applyFont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62" applyFont="1" applyFill="1" applyAlignment="1">
      <alignment horizontal="left" vertical="top" wrapText="1"/>
      <protection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11" xfId="62" applyFont="1" applyFill="1" applyBorder="1" applyAlignment="1">
      <alignment horizontal="center" vertical="top" wrapText="1"/>
      <protection/>
    </xf>
    <xf numFmtId="0" fontId="3" fillId="0" borderId="14" xfId="62" applyFont="1" applyFill="1" applyBorder="1" applyAlignment="1">
      <alignment horizontal="center" vertical="top" wrapText="1"/>
      <protection/>
    </xf>
    <xf numFmtId="0" fontId="1" fillId="0" borderId="0" xfId="62" applyFont="1" applyFill="1" applyAlignment="1">
      <alignment horizontal="center" vertical="top" wrapText="1"/>
      <protection/>
    </xf>
    <xf numFmtId="0" fontId="3" fillId="0" borderId="0" xfId="62" applyFont="1" applyFill="1" applyAlignment="1">
      <alignment horizontal="left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62" applyFont="1" applyFill="1" applyAlignment="1">
      <alignment horizontal="left" vertical="top" wrapText="1"/>
      <protection/>
    </xf>
    <xf numFmtId="0" fontId="1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1" fillId="0" borderId="0" xfId="6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0" fillId="0" borderId="10" xfId="64" applyFont="1" applyFill="1" applyBorder="1" applyAlignment="1">
      <alignment vertical="top" wrapText="1"/>
      <protection/>
    </xf>
    <xf numFmtId="0" fontId="1" fillId="0" borderId="10" xfId="64" applyFont="1" applyFill="1" applyBorder="1" applyAlignment="1">
      <alignment vertical="center" wrapText="1"/>
      <protection/>
    </xf>
    <xf numFmtId="49" fontId="3" fillId="0" borderId="0" xfId="64" applyNumberFormat="1" applyFont="1" applyAlignment="1">
      <alignment horizontal="left" vertical="top" wrapText="1"/>
      <protection/>
    </xf>
    <xf numFmtId="0" fontId="1" fillId="0" borderId="0" xfId="64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3" fillId="0" borderId="0" xfId="64" applyFont="1" applyFill="1" applyAlignment="1">
      <alignment horizontal="left" vertical="top"/>
      <protection/>
    </xf>
    <xf numFmtId="0" fontId="0" fillId="0" borderId="10" xfId="64" applyFont="1" applyFill="1" applyBorder="1" applyAlignment="1">
      <alignment horizontal="center" vertical="top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3 2" xfId="47"/>
    <cellStyle name="Денежный [0] 4" xfId="48"/>
    <cellStyle name="Денежный [0] 5" xfId="49"/>
    <cellStyle name="Денежный 2" xfId="50"/>
    <cellStyle name="Денежный 3" xfId="51"/>
    <cellStyle name="Денежный 4" xfId="52"/>
    <cellStyle name="Денежный 5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 4" xfId="65"/>
    <cellStyle name="Обычный_method_2_1" xfId="66"/>
    <cellStyle name="Обычный_Администраторы" xfId="67"/>
    <cellStyle name="Обычный_Расходы Надва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[0] 2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ADMINISTRATOR\Downloads\&#1055;&#1088;&#1086;&#1077;&#1082;&#1090;%20&#1041;&#1102;&#1076;&#1078;&#1077;&#1090;%202018-2020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"/>
      <sheetName val="4.Адм.дох"/>
      <sheetName val="Вед.18"/>
      <sheetName val="МП 18"/>
      <sheetName val="Ист17"/>
    </sheetNames>
    <sheetDataSet>
      <sheetData sheetId="0">
        <row r="46">
          <cell r="C46">
            <v>3102079.3600000003</v>
          </cell>
          <cell r="D46">
            <v>3296978.9299999997</v>
          </cell>
          <cell r="E46">
            <v>3484498.67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8F0C8B57259A8E16544F9DC27CADC22B5729ED2611768BD70DA245F7B40A830CAE0EEB7020B4B475BE71c8fB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PageLayoutView="0" workbookViewId="0" topLeftCell="A3">
      <selection activeCell="C54" sqref="C54"/>
    </sheetView>
  </sheetViews>
  <sheetFormatPr defaultColWidth="9.140625" defaultRowHeight="12.75"/>
  <cols>
    <col min="1" max="1" width="22.421875" style="10" customWidth="1"/>
    <col min="2" max="2" width="53.421875" style="1" customWidth="1"/>
    <col min="3" max="5" width="12.00390625" style="1" customWidth="1"/>
    <col min="6" max="18" width="9.140625" style="1" customWidth="1"/>
    <col min="19" max="19" width="10.7109375" style="1" customWidth="1"/>
    <col min="20" max="16384" width="9.140625" style="1" customWidth="1"/>
  </cols>
  <sheetData>
    <row r="1" ht="12.75" hidden="1">
      <c r="B1" s="20" t="s">
        <v>82</v>
      </c>
    </row>
    <row r="2" spans="2:5" ht="33" customHeight="1" hidden="1">
      <c r="B2" s="331" t="s">
        <v>180</v>
      </c>
      <c r="C2" s="331"/>
      <c r="D2" s="331"/>
      <c r="E2" s="331"/>
    </row>
    <row r="3" spans="1:5" ht="16.5" customHeight="1">
      <c r="A3" s="20"/>
      <c r="B3" s="91" t="s">
        <v>166</v>
      </c>
      <c r="C3" s="67"/>
      <c r="D3" s="67"/>
      <c r="E3" s="67"/>
    </row>
    <row r="4" spans="1:5" ht="26.25" customHeight="1">
      <c r="A4" s="20"/>
      <c r="B4" s="332" t="s">
        <v>325</v>
      </c>
      <c r="C4" s="332"/>
      <c r="D4" s="332"/>
      <c r="E4" s="332"/>
    </row>
    <row r="5" spans="1:5" ht="24.75" customHeight="1">
      <c r="A5" s="333" t="s">
        <v>326</v>
      </c>
      <c r="B5" s="333"/>
      <c r="C5" s="333"/>
      <c r="D5" s="333"/>
      <c r="E5" s="333"/>
    </row>
    <row r="6" spans="1:5" ht="12.75">
      <c r="A6" s="20"/>
      <c r="B6" s="3"/>
      <c r="C6" s="24"/>
      <c r="D6" s="24"/>
      <c r="E6" s="221" t="s">
        <v>292</v>
      </c>
    </row>
    <row r="7" spans="1:2" ht="12.75" hidden="1">
      <c r="A7" s="10" t="s">
        <v>71</v>
      </c>
      <c r="B7" s="14" t="s">
        <v>71</v>
      </c>
    </row>
    <row r="8" spans="1:5" s="10" customFormat="1" ht="26.25" customHeight="1">
      <c r="A8" s="30" t="s">
        <v>72</v>
      </c>
      <c r="B8" s="30" t="s">
        <v>38</v>
      </c>
      <c r="C8" s="5" t="s">
        <v>182</v>
      </c>
      <c r="D8" s="5" t="s">
        <v>231</v>
      </c>
      <c r="E8" s="5" t="s">
        <v>340</v>
      </c>
    </row>
    <row r="9" spans="1:5" ht="12.75">
      <c r="A9" s="9">
        <v>1</v>
      </c>
      <c r="B9" s="9">
        <v>2</v>
      </c>
      <c r="C9" s="9">
        <v>3</v>
      </c>
      <c r="D9" s="9">
        <v>3</v>
      </c>
      <c r="E9" s="9">
        <v>4</v>
      </c>
    </row>
    <row r="10" spans="1:5" s="2" customFormat="1" ht="12.75">
      <c r="A10" s="21" t="s">
        <v>73</v>
      </c>
      <c r="B10" s="16" t="s">
        <v>1</v>
      </c>
      <c r="C10" s="92">
        <f>C11+C15+C26+C18</f>
        <v>1452800</v>
      </c>
      <c r="D10" s="92">
        <f>D11+D15+D26+D18</f>
        <v>1480600</v>
      </c>
      <c r="E10" s="92">
        <f>E11+E15+E26+E18</f>
        <v>1509200</v>
      </c>
    </row>
    <row r="11" spans="1:5" s="2" customFormat="1" ht="16.5" customHeight="1">
      <c r="A11" s="21" t="s">
        <v>74</v>
      </c>
      <c r="B11" s="13" t="s">
        <v>55</v>
      </c>
      <c r="C11" s="92">
        <f>C12</f>
        <v>48000</v>
      </c>
      <c r="D11" s="92">
        <f>D12</f>
        <v>49000</v>
      </c>
      <c r="E11" s="92">
        <f>E12</f>
        <v>50000</v>
      </c>
    </row>
    <row r="12" spans="1:5" ht="12.75">
      <c r="A12" s="9" t="s">
        <v>75</v>
      </c>
      <c r="B12" s="15" t="s">
        <v>76</v>
      </c>
      <c r="C12" s="93">
        <f>C13+C14</f>
        <v>48000</v>
      </c>
      <c r="D12" s="93">
        <f>D13+D14</f>
        <v>49000</v>
      </c>
      <c r="E12" s="93">
        <f>E13+E14</f>
        <v>50000</v>
      </c>
    </row>
    <row r="13" spans="1:5" ht="65.25" customHeight="1">
      <c r="A13" s="9" t="s">
        <v>0</v>
      </c>
      <c r="B13" s="17" t="s">
        <v>153</v>
      </c>
      <c r="C13" s="93">
        <v>48000</v>
      </c>
      <c r="D13" s="93">
        <v>49000</v>
      </c>
      <c r="E13" s="93">
        <v>50000</v>
      </c>
    </row>
    <row r="14" spans="1:5" ht="32.25" customHeight="1" hidden="1">
      <c r="A14" s="9" t="s">
        <v>178</v>
      </c>
      <c r="B14" s="17" t="s">
        <v>179</v>
      </c>
      <c r="C14" s="18">
        <v>0</v>
      </c>
      <c r="D14" s="18">
        <v>0</v>
      </c>
      <c r="E14" s="18">
        <v>0</v>
      </c>
    </row>
    <row r="15" spans="1:5" s="2" customFormat="1" ht="19.5" customHeight="1" hidden="1">
      <c r="A15" s="21" t="s">
        <v>2</v>
      </c>
      <c r="B15" s="13" t="s">
        <v>77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8.75" customHeight="1" hidden="1">
      <c r="A16" s="9" t="s">
        <v>3</v>
      </c>
      <c r="B16" s="12" t="s">
        <v>78</v>
      </c>
      <c r="C16" s="18">
        <f t="shared" si="0"/>
        <v>0</v>
      </c>
      <c r="D16" s="18">
        <f t="shared" si="0"/>
        <v>0</v>
      </c>
      <c r="E16" s="18">
        <f t="shared" si="0"/>
        <v>0</v>
      </c>
    </row>
    <row r="17" spans="1:5" ht="20.25" customHeight="1" hidden="1">
      <c r="A17" s="9" t="s">
        <v>4</v>
      </c>
      <c r="B17" s="12" t="s">
        <v>78</v>
      </c>
      <c r="C17" s="18">
        <v>0</v>
      </c>
      <c r="D17" s="18">
        <v>0</v>
      </c>
      <c r="E17" s="18">
        <v>0</v>
      </c>
    </row>
    <row r="18" spans="1:5" s="28" customFormat="1" ht="18.75" customHeight="1">
      <c r="A18" s="26" t="s">
        <v>5</v>
      </c>
      <c r="B18" s="27" t="s">
        <v>6</v>
      </c>
      <c r="C18" s="94">
        <f>C19+C21</f>
        <v>1305200</v>
      </c>
      <c r="D18" s="94">
        <f>D19+D21</f>
        <v>1332000</v>
      </c>
      <c r="E18" s="94">
        <f>E19+E21</f>
        <v>1359600</v>
      </c>
    </row>
    <row r="19" spans="1:5" s="8" customFormat="1" ht="18.75" customHeight="1">
      <c r="A19" s="25" t="s">
        <v>7</v>
      </c>
      <c r="B19" s="29" t="s">
        <v>8</v>
      </c>
      <c r="C19" s="95">
        <f>C20</f>
        <v>19200</v>
      </c>
      <c r="D19" s="95">
        <f>D20</f>
        <v>23000</v>
      </c>
      <c r="E19" s="95">
        <f>E20</f>
        <v>27600</v>
      </c>
    </row>
    <row r="20" spans="1:5" s="8" customFormat="1" ht="39.75" customHeight="1">
      <c r="A20" s="25" t="s">
        <v>9</v>
      </c>
      <c r="B20" s="29" t="s">
        <v>141</v>
      </c>
      <c r="C20" s="95">
        <v>19200</v>
      </c>
      <c r="D20" s="95">
        <v>23000</v>
      </c>
      <c r="E20" s="95">
        <v>27600</v>
      </c>
    </row>
    <row r="21" spans="1:5" s="8" customFormat="1" ht="18.75" customHeight="1">
      <c r="A21" s="26" t="s">
        <v>10</v>
      </c>
      <c r="B21" s="27" t="s">
        <v>11</v>
      </c>
      <c r="C21" s="94">
        <f>C24+C22</f>
        <v>1286000</v>
      </c>
      <c r="D21" s="94">
        <f>D24+D22</f>
        <v>1309000</v>
      </c>
      <c r="E21" s="94">
        <f>E24+E22</f>
        <v>1332000</v>
      </c>
    </row>
    <row r="22" spans="1:5" s="8" customFormat="1" ht="16.5" customHeight="1">
      <c r="A22" s="23" t="s">
        <v>144</v>
      </c>
      <c r="B22" s="29" t="s">
        <v>145</v>
      </c>
      <c r="C22" s="95">
        <f>C23</f>
        <v>1003000</v>
      </c>
      <c r="D22" s="95">
        <f>D23</f>
        <v>1023000</v>
      </c>
      <c r="E22" s="95">
        <f>E23</f>
        <v>1043000</v>
      </c>
    </row>
    <row r="23" spans="1:5" s="8" customFormat="1" ht="26.25" customHeight="1">
      <c r="A23" s="23" t="s">
        <v>142</v>
      </c>
      <c r="B23" s="29" t="s">
        <v>146</v>
      </c>
      <c r="C23" s="95">
        <v>1003000</v>
      </c>
      <c r="D23" s="95">
        <v>1023000</v>
      </c>
      <c r="E23" s="95">
        <v>1043000</v>
      </c>
    </row>
    <row r="24" spans="1:5" s="8" customFormat="1" ht="15.75" customHeight="1">
      <c r="A24" s="23" t="s">
        <v>148</v>
      </c>
      <c r="B24" s="29" t="s">
        <v>147</v>
      </c>
      <c r="C24" s="95">
        <f>C25</f>
        <v>283000</v>
      </c>
      <c r="D24" s="95">
        <f>D25</f>
        <v>286000</v>
      </c>
      <c r="E24" s="95">
        <f>E25</f>
        <v>289000</v>
      </c>
    </row>
    <row r="25" spans="1:5" s="8" customFormat="1" ht="37.5" customHeight="1">
      <c r="A25" s="23" t="s">
        <v>143</v>
      </c>
      <c r="B25" s="29" t="s">
        <v>149</v>
      </c>
      <c r="C25" s="95">
        <v>283000</v>
      </c>
      <c r="D25" s="95">
        <v>286000</v>
      </c>
      <c r="E25" s="95">
        <v>289000</v>
      </c>
    </row>
    <row r="26" spans="1:5" s="2" customFormat="1" ht="37.5" customHeight="1">
      <c r="A26" s="21" t="s">
        <v>79</v>
      </c>
      <c r="B26" s="13" t="s">
        <v>56</v>
      </c>
      <c r="C26" s="96">
        <f>C27</f>
        <v>99600</v>
      </c>
      <c r="D26" s="96">
        <f aca="true" t="shared" si="1" ref="D26:E28">D27</f>
        <v>99600</v>
      </c>
      <c r="E26" s="96">
        <f t="shared" si="1"/>
        <v>99600</v>
      </c>
    </row>
    <row r="27" spans="1:5" ht="76.5" customHeight="1">
      <c r="A27" s="9" t="s">
        <v>80</v>
      </c>
      <c r="B27" s="31" t="s">
        <v>65</v>
      </c>
      <c r="C27" s="97">
        <f>C28</f>
        <v>99600</v>
      </c>
      <c r="D27" s="97">
        <f t="shared" si="1"/>
        <v>99600</v>
      </c>
      <c r="E27" s="97">
        <f t="shared" si="1"/>
        <v>99600</v>
      </c>
    </row>
    <row r="28" spans="1:5" ht="68.25" customHeight="1">
      <c r="A28" s="9" t="s">
        <v>81</v>
      </c>
      <c r="B28" s="17" t="s">
        <v>139</v>
      </c>
      <c r="C28" s="97">
        <f>C29</f>
        <v>99600</v>
      </c>
      <c r="D28" s="97">
        <f t="shared" si="1"/>
        <v>99600</v>
      </c>
      <c r="E28" s="97">
        <f t="shared" si="1"/>
        <v>99600</v>
      </c>
    </row>
    <row r="29" spans="1:5" ht="53.25" customHeight="1">
      <c r="A29" s="9" t="s">
        <v>13</v>
      </c>
      <c r="B29" s="12" t="s">
        <v>131</v>
      </c>
      <c r="C29" s="93">
        <v>99600</v>
      </c>
      <c r="D29" s="93">
        <v>99600</v>
      </c>
      <c r="E29" s="93">
        <v>99600</v>
      </c>
    </row>
    <row r="30" spans="1:12" s="4" customFormat="1" ht="17.25" customHeight="1">
      <c r="A30" s="11" t="s">
        <v>14</v>
      </c>
      <c r="B30" s="13" t="s">
        <v>15</v>
      </c>
      <c r="C30" s="98">
        <f>C31</f>
        <v>885467</v>
      </c>
      <c r="D30" s="98">
        <f>D31</f>
        <v>601884</v>
      </c>
      <c r="E30" s="98">
        <f>E31</f>
        <v>669855</v>
      </c>
      <c r="F30" s="22"/>
      <c r="G30" s="22"/>
      <c r="H30" s="22"/>
      <c r="I30" s="22"/>
      <c r="J30" s="22"/>
      <c r="K30" s="22"/>
      <c r="L30" s="22"/>
    </row>
    <row r="31" spans="1:12" s="3" customFormat="1" ht="26.25" customHeight="1">
      <c r="A31" s="5" t="s">
        <v>16</v>
      </c>
      <c r="B31" s="12" t="s">
        <v>17</v>
      </c>
      <c r="C31" s="257">
        <f>C32+C37+C43</f>
        <v>885467</v>
      </c>
      <c r="D31" s="257">
        <f>D32+D37+D43</f>
        <v>601884</v>
      </c>
      <c r="E31" s="257">
        <f>E32+E37+E43</f>
        <v>669855</v>
      </c>
      <c r="F31" s="7"/>
      <c r="G31" s="7"/>
      <c r="H31" s="7"/>
      <c r="I31" s="7"/>
      <c r="J31" s="7"/>
      <c r="K31" s="7"/>
      <c r="L31" s="7"/>
    </row>
    <row r="32" spans="1:12" s="4" customFormat="1" ht="28.5" customHeight="1" hidden="1">
      <c r="A32" s="11" t="s">
        <v>185</v>
      </c>
      <c r="B32" s="13" t="s">
        <v>190</v>
      </c>
      <c r="C32" s="98">
        <f>C33+C35</f>
        <v>0</v>
      </c>
      <c r="D32" s="98">
        <f>D33+D35</f>
        <v>0</v>
      </c>
      <c r="E32" s="98">
        <f>E33+E35</f>
        <v>0</v>
      </c>
      <c r="F32" s="22"/>
      <c r="G32" s="22"/>
      <c r="H32" s="22"/>
      <c r="I32" s="22"/>
      <c r="J32" s="22"/>
      <c r="K32" s="22"/>
      <c r="L32" s="22"/>
    </row>
    <row r="33" spans="1:12" s="3" customFormat="1" ht="17.25" customHeight="1" hidden="1">
      <c r="A33" s="5" t="s">
        <v>186</v>
      </c>
      <c r="B33" s="12" t="s">
        <v>18</v>
      </c>
      <c r="C33" s="257">
        <f>C34</f>
        <v>0</v>
      </c>
      <c r="D33" s="257">
        <f>D34</f>
        <v>0</v>
      </c>
      <c r="E33" s="257">
        <f>E34</f>
        <v>0</v>
      </c>
      <c r="F33" s="7"/>
      <c r="G33" s="7"/>
      <c r="H33" s="7"/>
      <c r="I33" s="7"/>
      <c r="J33" s="7"/>
      <c r="K33" s="7"/>
      <c r="L33" s="7"/>
    </row>
    <row r="34" spans="1:9" s="3" customFormat="1" ht="25.5" customHeight="1" hidden="1">
      <c r="A34" s="5" t="s">
        <v>187</v>
      </c>
      <c r="B34" s="101" t="s">
        <v>150</v>
      </c>
      <c r="C34" s="257">
        <v>0</v>
      </c>
      <c r="D34" s="257">
        <v>0</v>
      </c>
      <c r="E34" s="257">
        <v>0</v>
      </c>
      <c r="G34" s="6"/>
      <c r="H34" s="6"/>
      <c r="I34" s="6"/>
    </row>
    <row r="35" spans="1:11" s="3" customFormat="1" ht="30" customHeight="1" hidden="1">
      <c r="A35" s="5" t="s">
        <v>188</v>
      </c>
      <c r="B35" s="12" t="s">
        <v>19</v>
      </c>
      <c r="C35" s="257">
        <f>C36</f>
        <v>0</v>
      </c>
      <c r="D35" s="257">
        <f>D36</f>
        <v>0</v>
      </c>
      <c r="E35" s="257">
        <f>E36</f>
        <v>0</v>
      </c>
      <c r="F35" s="7"/>
      <c r="G35" s="7"/>
      <c r="H35" s="7"/>
      <c r="I35" s="7"/>
      <c r="J35" s="7"/>
      <c r="K35" s="7"/>
    </row>
    <row r="36" spans="1:9" s="3" customFormat="1" ht="26.25" customHeight="1" hidden="1">
      <c r="A36" s="5" t="s">
        <v>189</v>
      </c>
      <c r="B36" s="12" t="s">
        <v>151</v>
      </c>
      <c r="C36" s="257">
        <v>0</v>
      </c>
      <c r="D36" s="257">
        <v>0</v>
      </c>
      <c r="E36" s="257">
        <v>0</v>
      </c>
      <c r="G36" s="6"/>
      <c r="H36" s="6"/>
      <c r="I36" s="6"/>
    </row>
    <row r="37" spans="1:10" s="4" customFormat="1" ht="27.75" customHeight="1">
      <c r="A37" s="11" t="s">
        <v>364</v>
      </c>
      <c r="B37" s="13" t="s">
        <v>191</v>
      </c>
      <c r="C37" s="98">
        <f>C38+C40</f>
        <v>79305</v>
      </c>
      <c r="D37" s="98">
        <f>D38+D40</f>
        <v>79305</v>
      </c>
      <c r="E37" s="98">
        <f>E38+E40</f>
        <v>79305</v>
      </c>
      <c r="F37" s="22"/>
      <c r="G37" s="22"/>
      <c r="H37" s="22"/>
      <c r="I37" s="22"/>
      <c r="J37" s="22"/>
    </row>
    <row r="38" spans="1:11" s="3" customFormat="1" ht="39.75" customHeight="1">
      <c r="A38" s="5" t="s">
        <v>365</v>
      </c>
      <c r="B38" s="12" t="s">
        <v>20</v>
      </c>
      <c r="C38" s="257">
        <f>C39</f>
        <v>79305</v>
      </c>
      <c r="D38" s="257">
        <f>D39</f>
        <v>79305</v>
      </c>
      <c r="E38" s="257">
        <f>E39</f>
        <v>79305</v>
      </c>
      <c r="F38" s="7"/>
      <c r="G38" s="7"/>
      <c r="H38" s="7"/>
      <c r="I38" s="7"/>
      <c r="J38" s="7"/>
      <c r="K38" s="7"/>
    </row>
    <row r="39" spans="1:9" s="3" customFormat="1" ht="39.75" customHeight="1">
      <c r="A39" s="5" t="s">
        <v>366</v>
      </c>
      <c r="B39" s="12" t="s">
        <v>192</v>
      </c>
      <c r="C39" s="257">
        <v>79305</v>
      </c>
      <c r="D39" s="257">
        <v>79305</v>
      </c>
      <c r="E39" s="257">
        <v>79305</v>
      </c>
      <c r="G39" s="6"/>
      <c r="I39" s="6"/>
    </row>
    <row r="40" spans="1:11" s="3" customFormat="1" ht="27" customHeight="1" hidden="1">
      <c r="A40" s="5" t="s">
        <v>193</v>
      </c>
      <c r="B40" s="12" t="s">
        <v>21</v>
      </c>
      <c r="C40" s="257">
        <f aca="true" t="shared" si="2" ref="C40:E41">C41</f>
        <v>0</v>
      </c>
      <c r="D40" s="257">
        <f t="shared" si="2"/>
        <v>0</v>
      </c>
      <c r="E40" s="257">
        <f t="shared" si="2"/>
        <v>0</v>
      </c>
      <c r="F40" s="7"/>
      <c r="G40" s="7"/>
      <c r="H40" s="7"/>
      <c r="I40" s="7"/>
      <c r="J40" s="7"/>
      <c r="K40" s="7"/>
    </row>
    <row r="41" spans="1:11" s="3" customFormat="1" ht="26.25" customHeight="1" hidden="1">
      <c r="A41" s="5" t="s">
        <v>194</v>
      </c>
      <c r="B41" s="12" t="s">
        <v>152</v>
      </c>
      <c r="C41" s="257">
        <f t="shared" si="2"/>
        <v>0</v>
      </c>
      <c r="D41" s="257">
        <f t="shared" si="2"/>
        <v>0</v>
      </c>
      <c r="E41" s="257">
        <f t="shared" si="2"/>
        <v>0</v>
      </c>
      <c r="F41" s="7"/>
      <c r="G41" s="7"/>
      <c r="H41" s="7"/>
      <c r="I41" s="7"/>
      <c r="J41" s="7"/>
      <c r="K41" s="7"/>
    </row>
    <row r="42" spans="1:9" s="3" customFormat="1" ht="39" customHeight="1" hidden="1">
      <c r="A42" s="5"/>
      <c r="B42" s="12" t="s">
        <v>36</v>
      </c>
      <c r="C42" s="257"/>
      <c r="D42" s="257"/>
      <c r="E42" s="257"/>
      <c r="G42" s="6"/>
      <c r="I42" s="6"/>
    </row>
    <row r="43" spans="1:10" s="4" customFormat="1" ht="16.5" customHeight="1">
      <c r="A43" s="11" t="s">
        <v>367</v>
      </c>
      <c r="B43" s="13" t="s">
        <v>69</v>
      </c>
      <c r="C43" s="98">
        <f aca="true" t="shared" si="3" ref="C43:E44">C44</f>
        <v>806162</v>
      </c>
      <c r="D43" s="98">
        <f t="shared" si="3"/>
        <v>522579</v>
      </c>
      <c r="E43" s="98">
        <f t="shared" si="3"/>
        <v>590550</v>
      </c>
      <c r="F43" s="22"/>
      <c r="G43" s="22"/>
      <c r="H43" s="22"/>
      <c r="I43" s="22"/>
      <c r="J43" s="22"/>
    </row>
    <row r="44" spans="1:10" s="4" customFormat="1" ht="54" customHeight="1">
      <c r="A44" s="5" t="s">
        <v>368</v>
      </c>
      <c r="B44" s="12" t="s">
        <v>173</v>
      </c>
      <c r="C44" s="257">
        <f t="shared" si="3"/>
        <v>806162</v>
      </c>
      <c r="D44" s="257">
        <f t="shared" si="3"/>
        <v>522579</v>
      </c>
      <c r="E44" s="257">
        <f t="shared" si="3"/>
        <v>590550</v>
      </c>
      <c r="F44" s="22"/>
      <c r="G44" s="22"/>
      <c r="H44" s="22"/>
      <c r="I44" s="22"/>
      <c r="J44" s="22"/>
    </row>
    <row r="45" spans="1:9" s="3" customFormat="1" ht="65.25" customHeight="1">
      <c r="A45" s="5" t="s">
        <v>369</v>
      </c>
      <c r="B45" s="12" t="s">
        <v>174</v>
      </c>
      <c r="C45" s="257">
        <f>300+805562+300</f>
        <v>806162</v>
      </c>
      <c r="D45" s="257">
        <f>300+521979+300</f>
        <v>522579</v>
      </c>
      <c r="E45" s="257">
        <f>300+589950+300</f>
        <v>590550</v>
      </c>
      <c r="G45" s="6"/>
      <c r="I45" s="6"/>
    </row>
    <row r="46" spans="1:10" s="4" customFormat="1" ht="17.25" customHeight="1">
      <c r="A46" s="11"/>
      <c r="B46" s="13" t="s">
        <v>37</v>
      </c>
      <c r="C46" s="98">
        <f>C10+C30</f>
        <v>2338267</v>
      </c>
      <c r="D46" s="98">
        <f>D10+D30</f>
        <v>2082484</v>
      </c>
      <c r="E46" s="98">
        <f>E10+E30</f>
        <v>2179055</v>
      </c>
      <c r="F46" s="22"/>
      <c r="G46" s="22"/>
      <c r="H46" s="22"/>
      <c r="I46" s="22"/>
      <c r="J46" s="22"/>
    </row>
    <row r="49" spans="2:5" ht="13.5" customHeight="1">
      <c r="B49" s="333"/>
      <c r="C49" s="333"/>
      <c r="D49" s="333"/>
      <c r="E49" s="333"/>
    </row>
  </sheetData>
  <sheetProtection/>
  <mergeCells count="4">
    <mergeCell ref="B2:E2"/>
    <mergeCell ref="B4:E4"/>
    <mergeCell ref="A5:E5"/>
    <mergeCell ref="B49:E49"/>
  </mergeCells>
  <printOptions/>
  <pageMargins left="0.7086614173228347" right="0.35433070866141736" top="0.35433070866141736" bottom="0.16" header="1.141732283464567" footer="0.3937007874015748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51.421875" style="124" customWidth="1"/>
    <col min="3" max="3" width="16.8515625" style="124" customWidth="1"/>
    <col min="4" max="4" width="11.140625" style="124" customWidth="1"/>
    <col min="5" max="5" width="11.4218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>
      <c r="A1" s="122"/>
      <c r="B1" s="123"/>
      <c r="C1" s="407" t="s">
        <v>290</v>
      </c>
      <c r="D1" s="407"/>
      <c r="E1" s="407"/>
    </row>
    <row r="2" spans="1:5" ht="74.25" customHeight="1">
      <c r="A2" s="122"/>
      <c r="B2" s="123"/>
      <c r="C2" s="341" t="s">
        <v>325</v>
      </c>
      <c r="D2" s="341"/>
      <c r="E2" s="341"/>
    </row>
    <row r="3" spans="1:3" ht="12.75">
      <c r="A3" s="122"/>
      <c r="B3" s="123"/>
      <c r="C3" s="99" t="s">
        <v>259</v>
      </c>
    </row>
    <row r="4" spans="1:3" ht="12.75">
      <c r="A4" s="122"/>
      <c r="B4" s="123"/>
      <c r="C4" s="125"/>
    </row>
    <row r="5" spans="1:255" ht="69.75" customHeight="1">
      <c r="A5" s="126"/>
      <c r="B5" s="406" t="s">
        <v>330</v>
      </c>
      <c r="C5" s="406"/>
      <c r="D5" s="406"/>
      <c r="E5" s="40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20.25" customHeight="1">
      <c r="A6" s="122"/>
      <c r="B6" s="128"/>
      <c r="C6" s="128"/>
      <c r="E6" s="270" t="s">
        <v>292</v>
      </c>
    </row>
    <row r="7" spans="1:255" ht="27.75" customHeight="1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1" customHeight="1">
      <c r="A8" s="131">
        <v>1</v>
      </c>
      <c r="B8" s="132" t="s">
        <v>262</v>
      </c>
      <c r="C8" s="136">
        <v>3000</v>
      </c>
      <c r="D8" s="136">
        <v>3000</v>
      </c>
      <c r="E8" s="136">
        <v>3000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2.5" customHeight="1">
      <c r="A9" s="133"/>
      <c r="B9" s="134" t="s">
        <v>263</v>
      </c>
      <c r="C9" s="137">
        <f>SUM(C8:C8)</f>
        <v>3000</v>
      </c>
      <c r="D9" s="137">
        <f>SUM(D8:D8)</f>
        <v>3000</v>
      </c>
      <c r="E9" s="137">
        <f>SUM(E8:E8)</f>
        <v>3000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B5:E5"/>
    <mergeCell ref="C1:E1"/>
    <mergeCell ref="C2:E2"/>
  </mergeCells>
  <printOptions/>
  <pageMargins left="0.69" right="0.7086614173228347" top="0.7480314960629921" bottom="0.7480314960629921" header="0.31496062992125984" footer="0.31496062992125984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U10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9.8515625" style="124" customWidth="1"/>
    <col min="3" max="3" width="20.57421875" style="124" customWidth="1"/>
    <col min="4" max="4" width="12.7109375" style="124" customWidth="1"/>
    <col min="5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07" t="s">
        <v>332</v>
      </c>
      <c r="D1" s="407"/>
      <c r="E1" s="407"/>
    </row>
    <row r="2" spans="1:5" ht="74.25" customHeight="1">
      <c r="A2" s="122"/>
      <c r="B2" s="123"/>
      <c r="C2" s="341" t="s">
        <v>325</v>
      </c>
      <c r="D2" s="341"/>
      <c r="E2" s="341"/>
    </row>
    <row r="3" spans="1:3" ht="12.75">
      <c r="A3" s="122"/>
      <c r="B3" s="123"/>
      <c r="C3" s="99" t="s">
        <v>264</v>
      </c>
    </row>
    <row r="4" spans="1:3" ht="12.75">
      <c r="A4" s="122"/>
      <c r="B4" s="123"/>
      <c r="C4" s="125"/>
    </row>
    <row r="5" spans="1:255" ht="100.5" customHeight="1">
      <c r="A5" s="126"/>
      <c r="B5" s="406" t="s">
        <v>333</v>
      </c>
      <c r="C5" s="406"/>
      <c r="D5" s="406"/>
      <c r="E5" s="40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2.5" customHeight="1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1" customHeight="1">
      <c r="A8" s="131">
        <v>1</v>
      </c>
      <c r="B8" s="132" t="s">
        <v>262</v>
      </c>
      <c r="C8" s="136">
        <v>500</v>
      </c>
      <c r="D8" s="136">
        <v>500</v>
      </c>
      <c r="E8" s="136">
        <v>500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2.5" customHeight="1">
      <c r="A9" s="133"/>
      <c r="B9" s="134" t="s">
        <v>263</v>
      </c>
      <c r="C9" s="137">
        <f>SUM(C8:C8)</f>
        <v>500</v>
      </c>
      <c r="D9" s="137">
        <f>SUM(D8:D8)</f>
        <v>500</v>
      </c>
      <c r="E9" s="137">
        <f>SUM(E8:E8)</f>
        <v>500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  <row r="10" spans="3:5" ht="12.75">
      <c r="C10" s="138"/>
      <c r="D10" s="138"/>
      <c r="E10" s="138"/>
    </row>
  </sheetData>
  <sheetProtection/>
  <mergeCells count="3">
    <mergeCell ref="C1:E1"/>
    <mergeCell ref="C2:E2"/>
    <mergeCell ref="B5:E5"/>
  </mergeCells>
  <printOptions/>
  <pageMargins left="0.18" right="0.1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5.57421875" style="124" customWidth="1"/>
    <col min="3" max="3" width="20.7109375" style="124" customWidth="1"/>
    <col min="4" max="5" width="14.71093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07" t="s">
        <v>332</v>
      </c>
      <c r="D1" s="407"/>
      <c r="E1" s="407"/>
    </row>
    <row r="2" spans="1:5" ht="69" customHeight="1">
      <c r="A2" s="122"/>
      <c r="B2" s="123"/>
      <c r="C2" s="341" t="s">
        <v>325</v>
      </c>
      <c r="D2" s="341"/>
      <c r="E2" s="341"/>
    </row>
    <row r="3" spans="1:3" ht="12.75">
      <c r="A3" s="122"/>
      <c r="B3" s="123"/>
      <c r="C3" s="99" t="s">
        <v>265</v>
      </c>
    </row>
    <row r="4" spans="1:3" ht="12.75">
      <c r="A4" s="122"/>
      <c r="B4" s="123"/>
      <c r="C4" s="125"/>
    </row>
    <row r="5" spans="1:255" ht="100.5" customHeight="1">
      <c r="A5" s="126"/>
      <c r="B5" s="406" t="s">
        <v>334</v>
      </c>
      <c r="C5" s="406"/>
      <c r="D5" s="406"/>
      <c r="E5" s="40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5.5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5.5" customHeight="1">
      <c r="A8" s="131">
        <v>1</v>
      </c>
      <c r="B8" s="132" t="s">
        <v>262</v>
      </c>
      <c r="C8" s="136">
        <v>4000</v>
      </c>
      <c r="D8" s="136">
        <v>4000</v>
      </c>
      <c r="E8" s="136">
        <v>4000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5.5" customHeight="1">
      <c r="A9" s="133"/>
      <c r="B9" s="134" t="s">
        <v>263</v>
      </c>
      <c r="C9" s="137">
        <f>SUM(C8:C8)</f>
        <v>4000</v>
      </c>
      <c r="D9" s="137">
        <f>SUM(D8:D8)</f>
        <v>4000</v>
      </c>
      <c r="E9" s="137">
        <f>SUM(E8:E8)</f>
        <v>4000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C1:E1"/>
    <mergeCell ref="C2:E2"/>
    <mergeCell ref="B5:E5"/>
  </mergeCells>
  <printOptions/>
  <pageMargins left="0.18" right="0.29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5.57421875" style="124" customWidth="1"/>
    <col min="3" max="3" width="20.7109375" style="124" customWidth="1"/>
    <col min="4" max="5" width="14.71093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07" t="s">
        <v>332</v>
      </c>
      <c r="D1" s="407"/>
      <c r="E1" s="407"/>
    </row>
    <row r="2" spans="1:5" ht="69" customHeight="1">
      <c r="A2" s="122"/>
      <c r="B2" s="123"/>
      <c r="C2" s="341" t="s">
        <v>325</v>
      </c>
      <c r="D2" s="341"/>
      <c r="E2" s="341"/>
    </row>
    <row r="3" spans="1:3" ht="12.75">
      <c r="A3" s="122"/>
      <c r="B3" s="123"/>
      <c r="C3" s="99" t="s">
        <v>335</v>
      </c>
    </row>
    <row r="4" spans="1:3" ht="12.75">
      <c r="A4" s="122"/>
      <c r="B4" s="123"/>
      <c r="C4" s="125"/>
    </row>
    <row r="5" spans="1:255" ht="100.5" customHeight="1">
      <c r="A5" s="126"/>
      <c r="B5" s="406" t="s">
        <v>336</v>
      </c>
      <c r="C5" s="406"/>
      <c r="D5" s="406"/>
      <c r="E5" s="40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5.5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5.5" customHeight="1">
      <c r="A8" s="131">
        <v>1</v>
      </c>
      <c r="B8" s="132" t="s">
        <v>262</v>
      </c>
      <c r="C8" s="136">
        <v>300</v>
      </c>
      <c r="D8" s="136">
        <v>300</v>
      </c>
      <c r="E8" s="136">
        <v>300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5.5" customHeight="1">
      <c r="A9" s="133"/>
      <c r="B9" s="134" t="s">
        <v>263</v>
      </c>
      <c r="C9" s="137">
        <f>SUM(C8:C8)</f>
        <v>300</v>
      </c>
      <c r="D9" s="137">
        <f>SUM(D8:D8)</f>
        <v>300</v>
      </c>
      <c r="E9" s="137">
        <f>SUM(E8:E8)</f>
        <v>300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C1:E1"/>
    <mergeCell ref="C2:E2"/>
    <mergeCell ref="B5:E5"/>
  </mergeCells>
  <printOptions/>
  <pageMargins left="0.18" right="0.29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26.140625" style="139" customWidth="1"/>
    <col min="2" max="2" width="19.8515625" style="139" customWidth="1"/>
    <col min="3" max="3" width="27.140625" style="139" customWidth="1"/>
    <col min="4" max="4" width="15.140625" style="139" hidden="1" customWidth="1"/>
    <col min="5" max="6" width="12.421875" style="139" hidden="1" customWidth="1"/>
    <col min="7" max="7" width="11.421875" style="139" hidden="1" customWidth="1"/>
    <col min="8" max="8" width="11.28125" style="139" hidden="1" customWidth="1"/>
    <col min="9" max="9" width="13.8515625" style="139" hidden="1" customWidth="1"/>
    <col min="10" max="10" width="13.8515625" style="139" customWidth="1"/>
    <col min="11" max="11" width="13.00390625" style="139" hidden="1" customWidth="1"/>
    <col min="12" max="12" width="13.421875" style="139" hidden="1" customWidth="1"/>
    <col min="13" max="244" width="9.140625" style="139" customWidth="1"/>
    <col min="245" max="245" width="26.00390625" style="139" customWidth="1"/>
    <col min="246" max="246" width="17.140625" style="139" customWidth="1"/>
    <col min="247" max="247" width="47.421875" style="139" customWidth="1"/>
    <col min="248" max="248" width="15.57421875" style="139" customWidth="1"/>
    <col min="249" max="249" width="12.7109375" style="139" customWidth="1"/>
    <col min="250" max="16384" width="9.140625" style="139" customWidth="1"/>
  </cols>
  <sheetData>
    <row r="1" spans="3:19" ht="12.75" hidden="1">
      <c r="C1" s="3" t="s">
        <v>268</v>
      </c>
      <c r="D1" s="33"/>
      <c r="E1" s="33"/>
      <c r="F1" s="33"/>
      <c r="G1" s="140"/>
      <c r="H1" s="3"/>
      <c r="I1" s="3"/>
      <c r="J1" s="3"/>
      <c r="K1" s="3"/>
      <c r="L1" s="3"/>
      <c r="M1" s="3"/>
      <c r="N1" s="3"/>
      <c r="O1" s="3"/>
      <c r="P1" s="32"/>
      <c r="Q1" s="32"/>
      <c r="R1" s="32"/>
      <c r="S1" s="32"/>
    </row>
    <row r="2" spans="3:19" ht="57" customHeight="1" hidden="1">
      <c r="C2" s="412" t="s">
        <v>140</v>
      </c>
      <c r="D2" s="412"/>
      <c r="E2" s="412"/>
      <c r="F2" s="412"/>
      <c r="G2" s="412"/>
      <c r="H2" s="412"/>
      <c r="I2" s="312"/>
      <c r="J2" s="312"/>
      <c r="K2" s="141"/>
      <c r="L2" s="141"/>
      <c r="M2" s="141"/>
      <c r="N2" s="141"/>
      <c r="O2" s="141"/>
      <c r="P2" s="141"/>
      <c r="Q2" s="141"/>
      <c r="R2" s="141"/>
      <c r="S2" s="141"/>
    </row>
    <row r="3" spans="1:10" s="143" customFormat="1" ht="13.5" customHeight="1">
      <c r="A3" s="142"/>
      <c r="C3" s="413" t="s">
        <v>104</v>
      </c>
      <c r="D3" s="413"/>
      <c r="E3" s="144"/>
      <c r="F3" s="144"/>
      <c r="G3" s="145"/>
      <c r="H3" s="145"/>
      <c r="I3" s="145"/>
      <c r="J3" s="145"/>
    </row>
    <row r="4" spans="1:12" s="143" customFormat="1" ht="47.25" customHeight="1" hidden="1">
      <c r="A4" s="142"/>
      <c r="C4" s="410" t="s">
        <v>325</v>
      </c>
      <c r="D4" s="410"/>
      <c r="E4" s="410"/>
      <c r="F4" s="410"/>
      <c r="G4" s="410"/>
      <c r="H4" s="410"/>
      <c r="I4" s="410"/>
      <c r="J4" s="410"/>
      <c r="K4" s="410"/>
      <c r="L4" s="410"/>
    </row>
    <row r="5" spans="1:14" s="143" customFormat="1" ht="50.25" customHeight="1">
      <c r="A5" s="142"/>
      <c r="C5" s="397" t="s">
        <v>409</v>
      </c>
      <c r="D5" s="397"/>
      <c r="E5" s="397"/>
      <c r="F5" s="397"/>
      <c r="G5" s="397"/>
      <c r="H5" s="397"/>
      <c r="I5" s="397"/>
      <c r="J5" s="397"/>
      <c r="K5" s="321"/>
      <c r="L5" s="321"/>
      <c r="M5" s="321"/>
      <c r="N5" s="321"/>
    </row>
    <row r="6" spans="1:14" s="143" customFormat="1" ht="17.25" customHeight="1">
      <c r="A6" s="142"/>
      <c r="C6" s="403" t="s">
        <v>337</v>
      </c>
      <c r="D6" s="403"/>
      <c r="E6" s="403"/>
      <c r="F6" s="403"/>
      <c r="G6" s="403"/>
      <c r="H6" s="403"/>
      <c r="I6" s="403"/>
      <c r="J6" s="403"/>
      <c r="K6" s="403"/>
      <c r="L6" s="403"/>
      <c r="M6" s="42"/>
      <c r="N6" s="42"/>
    </row>
    <row r="7" spans="1:14" s="143" customFormat="1" ht="40.5" customHeight="1">
      <c r="A7" s="142"/>
      <c r="C7" s="394" t="s">
        <v>393</v>
      </c>
      <c r="D7" s="394"/>
      <c r="E7" s="394"/>
      <c r="F7" s="394"/>
      <c r="G7" s="394"/>
      <c r="H7" s="394"/>
      <c r="I7" s="394"/>
      <c r="J7" s="394"/>
      <c r="K7" s="322"/>
      <c r="L7" s="322"/>
      <c r="M7" s="322"/>
      <c r="N7" s="322"/>
    </row>
    <row r="8" spans="1:12" s="146" customFormat="1" ht="41.25" customHeight="1">
      <c r="A8" s="411" t="s">
        <v>338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</row>
    <row r="9" spans="1:12" s="146" customFormat="1" ht="12.75" customHeight="1">
      <c r="A9" s="147"/>
      <c r="D9" s="148"/>
      <c r="E9" s="149"/>
      <c r="F9" s="148" t="s">
        <v>22</v>
      </c>
      <c r="G9" s="120"/>
      <c r="H9" s="148" t="s">
        <v>22</v>
      </c>
      <c r="I9" s="148"/>
      <c r="J9" s="221" t="s">
        <v>292</v>
      </c>
      <c r="L9" s="221" t="s">
        <v>292</v>
      </c>
    </row>
    <row r="10" spans="1:12" s="143" customFormat="1" ht="32.25" customHeight="1">
      <c r="A10" s="150" t="s">
        <v>269</v>
      </c>
      <c r="B10" s="414" t="s">
        <v>270</v>
      </c>
      <c r="C10" s="414"/>
      <c r="D10" s="150" t="s">
        <v>184</v>
      </c>
      <c r="E10" s="150" t="s">
        <v>183</v>
      </c>
      <c r="F10" s="150" t="s">
        <v>184</v>
      </c>
      <c r="G10" s="5" t="s">
        <v>271</v>
      </c>
      <c r="H10" s="5" t="s">
        <v>272</v>
      </c>
      <c r="I10" s="279" t="s">
        <v>396</v>
      </c>
      <c r="J10" s="279" t="s">
        <v>437</v>
      </c>
      <c r="K10" s="150" t="s">
        <v>204</v>
      </c>
      <c r="L10" s="150" t="s">
        <v>339</v>
      </c>
    </row>
    <row r="11" spans="1:12" ht="31.5" customHeight="1">
      <c r="A11" s="151" t="s">
        <v>273</v>
      </c>
      <c r="B11" s="408" t="s">
        <v>274</v>
      </c>
      <c r="C11" s="408"/>
      <c r="D11" s="157">
        <f>D12+D16</f>
        <v>3001870</v>
      </c>
      <c r="E11" s="157" t="e">
        <f aca="true" t="shared" si="0" ref="E11:L11">E12+E16</f>
        <v>#REF!</v>
      </c>
      <c r="F11" s="157" t="e">
        <f t="shared" si="0"/>
        <v>#REF!</v>
      </c>
      <c r="G11" s="157" t="e">
        <f t="shared" si="0"/>
        <v>#REF!</v>
      </c>
      <c r="H11" s="157" t="e">
        <f t="shared" si="0"/>
        <v>#REF!</v>
      </c>
      <c r="I11" s="157">
        <f>I12+I16</f>
        <v>1294019</v>
      </c>
      <c r="J11" s="157">
        <f>J12+J16</f>
        <v>4295889</v>
      </c>
      <c r="K11" s="157">
        <f t="shared" si="0"/>
        <v>54495</v>
      </c>
      <c r="L11" s="157">
        <f t="shared" si="0"/>
        <v>54495</v>
      </c>
    </row>
    <row r="12" spans="1:12" s="146" customFormat="1" ht="22.5" customHeight="1">
      <c r="A12" s="151" t="s">
        <v>275</v>
      </c>
      <c r="B12" s="408" t="s">
        <v>276</v>
      </c>
      <c r="C12" s="408"/>
      <c r="D12" s="157">
        <f>D13</f>
        <v>-2385356.71</v>
      </c>
      <c r="E12" s="157">
        <f aca="true" t="shared" si="1" ref="D12:L14">E13</f>
        <v>-2082484</v>
      </c>
      <c r="F12" s="157">
        <f t="shared" si="1"/>
        <v>-2179055</v>
      </c>
      <c r="G12" s="158">
        <f t="shared" si="1"/>
        <v>0</v>
      </c>
      <c r="H12" s="158">
        <f>H13</f>
        <v>0</v>
      </c>
      <c r="I12" s="157">
        <f t="shared" si="1"/>
        <v>0</v>
      </c>
      <c r="J12" s="157">
        <f t="shared" si="1"/>
        <v>-2385356.71</v>
      </c>
      <c r="K12" s="157">
        <f t="shared" si="1"/>
        <v>-2082484</v>
      </c>
      <c r="L12" s="157">
        <f t="shared" si="1"/>
        <v>-2179055</v>
      </c>
    </row>
    <row r="13" spans="1:12" s="146" customFormat="1" ht="19.5" customHeight="1">
      <c r="A13" s="151" t="s">
        <v>277</v>
      </c>
      <c r="B13" s="408" t="s">
        <v>278</v>
      </c>
      <c r="C13" s="408"/>
      <c r="D13" s="157">
        <f>D14</f>
        <v>-2385356.71</v>
      </c>
      <c r="E13" s="157">
        <f t="shared" si="1"/>
        <v>-2082484</v>
      </c>
      <c r="F13" s="157">
        <f t="shared" si="1"/>
        <v>-2179055</v>
      </c>
      <c r="G13" s="158">
        <f t="shared" si="1"/>
        <v>0</v>
      </c>
      <c r="H13" s="158">
        <f t="shared" si="1"/>
        <v>0</v>
      </c>
      <c r="I13" s="157">
        <f t="shared" si="1"/>
        <v>0</v>
      </c>
      <c r="J13" s="157">
        <f>J14</f>
        <v>-2385356.71</v>
      </c>
      <c r="K13" s="157">
        <f t="shared" si="1"/>
        <v>-2082484</v>
      </c>
      <c r="L13" s="157">
        <f t="shared" si="1"/>
        <v>-2179055</v>
      </c>
    </row>
    <row r="14" spans="1:12" s="146" customFormat="1" ht="28.5" customHeight="1">
      <c r="A14" s="151" t="s">
        <v>279</v>
      </c>
      <c r="B14" s="408" t="s">
        <v>280</v>
      </c>
      <c r="C14" s="408"/>
      <c r="D14" s="157">
        <f t="shared" si="1"/>
        <v>-2385356.71</v>
      </c>
      <c r="E14" s="157">
        <f t="shared" si="1"/>
        <v>-2082484</v>
      </c>
      <c r="F14" s="157">
        <f t="shared" si="1"/>
        <v>-2179055</v>
      </c>
      <c r="G14" s="158">
        <f t="shared" si="1"/>
        <v>0</v>
      </c>
      <c r="H14" s="158">
        <f t="shared" si="1"/>
        <v>0</v>
      </c>
      <c r="I14" s="157">
        <f t="shared" si="1"/>
        <v>0</v>
      </c>
      <c r="J14" s="157">
        <f t="shared" si="1"/>
        <v>-2385356.71</v>
      </c>
      <c r="K14" s="157">
        <f t="shared" si="1"/>
        <v>-2082484</v>
      </c>
      <c r="L14" s="157">
        <f t="shared" si="1"/>
        <v>-2179055</v>
      </c>
    </row>
    <row r="15" spans="1:12" s="146" customFormat="1" ht="29.25" customHeight="1">
      <c r="A15" s="151" t="s">
        <v>281</v>
      </c>
      <c r="B15" s="408" t="s">
        <v>256</v>
      </c>
      <c r="C15" s="408"/>
      <c r="D15" s="157">
        <f>-'1. Дох.2019-2021'!C46-47089.71</f>
        <v>-2385356.71</v>
      </c>
      <c r="E15" s="157">
        <f>-'1. Дох.2019-2021'!D46</f>
        <v>-2082484</v>
      </c>
      <c r="F15" s="157">
        <f>-'1. Дох.2019-2021'!E46</f>
        <v>-2179055</v>
      </c>
      <c r="G15" s="157">
        <f>-'1. Дох.2019-2021'!F46</f>
        <v>0</v>
      </c>
      <c r="H15" s="157">
        <f>-'1. Дох.2019-2021'!G46</f>
        <v>0</v>
      </c>
      <c r="I15" s="157">
        <v>0</v>
      </c>
      <c r="J15" s="157">
        <f>I15+D15</f>
        <v>-2385356.71</v>
      </c>
      <c r="K15" s="157">
        <f>-'1. Дох.2019-2021'!D46</f>
        <v>-2082484</v>
      </c>
      <c r="L15" s="157">
        <f>-'1. Дох.2019-2021'!E46</f>
        <v>-2179055</v>
      </c>
    </row>
    <row r="16" spans="1:12" s="146" customFormat="1" ht="30.75" customHeight="1">
      <c r="A16" s="151" t="s">
        <v>282</v>
      </c>
      <c r="B16" s="408" t="s">
        <v>283</v>
      </c>
      <c r="C16" s="408"/>
      <c r="D16" s="157">
        <f>D17</f>
        <v>5387226.71</v>
      </c>
      <c r="E16" s="157" t="e">
        <f aca="true" t="shared" si="2" ref="E16:L18">E17</f>
        <v>#REF!</v>
      </c>
      <c r="F16" s="157" t="e">
        <f t="shared" si="2"/>
        <v>#REF!</v>
      </c>
      <c r="G16" s="158" t="e">
        <f t="shared" si="2"/>
        <v>#REF!</v>
      </c>
      <c r="H16" s="158" t="e">
        <f t="shared" si="2"/>
        <v>#REF!</v>
      </c>
      <c r="I16" s="157">
        <f t="shared" si="2"/>
        <v>1294019</v>
      </c>
      <c r="J16" s="157">
        <f t="shared" si="2"/>
        <v>6681245.71</v>
      </c>
      <c r="K16" s="157">
        <f t="shared" si="2"/>
        <v>2136979</v>
      </c>
      <c r="L16" s="157">
        <f t="shared" si="2"/>
        <v>2233550</v>
      </c>
    </row>
    <row r="17" spans="1:12" s="146" customFormat="1" ht="19.5" customHeight="1">
      <c r="A17" s="151" t="s">
        <v>284</v>
      </c>
      <c r="B17" s="408" t="s">
        <v>285</v>
      </c>
      <c r="C17" s="408"/>
      <c r="D17" s="157">
        <f>D18</f>
        <v>5387226.71</v>
      </c>
      <c r="E17" s="157" t="e">
        <f t="shared" si="2"/>
        <v>#REF!</v>
      </c>
      <c r="F17" s="157" t="e">
        <f t="shared" si="2"/>
        <v>#REF!</v>
      </c>
      <c r="G17" s="158" t="e">
        <f t="shared" si="2"/>
        <v>#REF!</v>
      </c>
      <c r="H17" s="158" t="e">
        <f t="shared" si="2"/>
        <v>#REF!</v>
      </c>
      <c r="I17" s="157">
        <f t="shared" si="2"/>
        <v>1294019</v>
      </c>
      <c r="J17" s="157">
        <f t="shared" si="2"/>
        <v>6681245.71</v>
      </c>
      <c r="K17" s="157">
        <f t="shared" si="2"/>
        <v>2136979</v>
      </c>
      <c r="L17" s="157">
        <f t="shared" si="2"/>
        <v>2233550</v>
      </c>
    </row>
    <row r="18" spans="1:12" s="146" customFormat="1" ht="30.75" customHeight="1">
      <c r="A18" s="151" t="s">
        <v>286</v>
      </c>
      <c r="B18" s="408" t="s">
        <v>287</v>
      </c>
      <c r="C18" s="408"/>
      <c r="D18" s="157">
        <f>D19</f>
        <v>5387226.71</v>
      </c>
      <c r="E18" s="157" t="e">
        <f t="shared" si="2"/>
        <v>#REF!</v>
      </c>
      <c r="F18" s="157" t="e">
        <f t="shared" si="2"/>
        <v>#REF!</v>
      </c>
      <c r="G18" s="158" t="e">
        <f t="shared" si="2"/>
        <v>#REF!</v>
      </c>
      <c r="H18" s="158" t="e">
        <f t="shared" si="2"/>
        <v>#REF!</v>
      </c>
      <c r="I18" s="157">
        <f t="shared" si="2"/>
        <v>1294019</v>
      </c>
      <c r="J18" s="157">
        <f t="shared" si="2"/>
        <v>6681245.71</v>
      </c>
      <c r="K18" s="157">
        <f t="shared" si="2"/>
        <v>2136979</v>
      </c>
      <c r="L18" s="157">
        <f t="shared" si="2"/>
        <v>2233550</v>
      </c>
    </row>
    <row r="19" spans="1:12" s="146" customFormat="1" ht="31.5" customHeight="1">
      <c r="A19" s="151" t="s">
        <v>288</v>
      </c>
      <c r="B19" s="408" t="s">
        <v>258</v>
      </c>
      <c r="C19" s="408"/>
      <c r="D19" s="157">
        <f>'6.Вед.19-21 '!L115</f>
        <v>5387226.71</v>
      </c>
      <c r="E19" s="157" t="e">
        <f>#REF!</f>
        <v>#REF!</v>
      </c>
      <c r="F19" s="157" t="e">
        <f>#REF!</f>
        <v>#REF!</v>
      </c>
      <c r="G19" s="157" t="e">
        <f>#REF!</f>
        <v>#REF!</v>
      </c>
      <c r="H19" s="157" t="e">
        <f>#REF!</f>
        <v>#REF!</v>
      </c>
      <c r="I19" s="157">
        <f>'6.Вед.19-21 '!M115</f>
        <v>1294019</v>
      </c>
      <c r="J19" s="157">
        <f>'6.Вед.19-21 '!N115</f>
        <v>6681245.71</v>
      </c>
      <c r="K19" s="157">
        <f>'6.Вед.19-21 '!O115</f>
        <v>2136979</v>
      </c>
      <c r="L19" s="157">
        <f>'6.Вед.19-21 '!P115</f>
        <v>2233550</v>
      </c>
    </row>
    <row r="20" spans="1:12" s="153" customFormat="1" ht="42" customHeight="1">
      <c r="A20" s="152"/>
      <c r="B20" s="409" t="s">
        <v>289</v>
      </c>
      <c r="C20" s="409"/>
      <c r="D20" s="159">
        <f>D11</f>
        <v>3001870</v>
      </c>
      <c r="E20" s="159" t="e">
        <f aca="true" t="shared" si="3" ref="E20:L20">E11</f>
        <v>#REF!</v>
      </c>
      <c r="F20" s="159" t="e">
        <f t="shared" si="3"/>
        <v>#REF!</v>
      </c>
      <c r="G20" s="159" t="e">
        <f t="shared" si="3"/>
        <v>#REF!</v>
      </c>
      <c r="H20" s="159" t="e">
        <f t="shared" si="3"/>
        <v>#REF!</v>
      </c>
      <c r="I20" s="159">
        <f>I11</f>
        <v>1294019</v>
      </c>
      <c r="J20" s="159">
        <f>J11</f>
        <v>4295889</v>
      </c>
      <c r="K20" s="159">
        <f t="shared" si="3"/>
        <v>54495</v>
      </c>
      <c r="L20" s="159">
        <f t="shared" si="3"/>
        <v>54495</v>
      </c>
    </row>
    <row r="21" spans="4:6" ht="12.75">
      <c r="D21" s="154"/>
      <c r="E21" s="154"/>
      <c r="F21" s="154"/>
    </row>
    <row r="22" spans="4:6" ht="12.75">
      <c r="D22" s="154"/>
      <c r="E22" s="154"/>
      <c r="F22" s="154"/>
    </row>
    <row r="23" spans="4:6" ht="12.75">
      <c r="D23" s="154"/>
      <c r="E23" s="154"/>
      <c r="F23" s="154"/>
    </row>
    <row r="25" spans="3:6" ht="12.75">
      <c r="C25" s="155"/>
      <c r="D25" s="155"/>
      <c r="E25" s="155"/>
      <c r="F25" s="155"/>
    </row>
    <row r="29" spans="3:6" ht="12.75">
      <c r="C29" s="156"/>
      <c r="D29" s="156"/>
      <c r="E29" s="156"/>
      <c r="F29" s="156"/>
    </row>
  </sheetData>
  <sheetProtection/>
  <mergeCells count="18">
    <mergeCell ref="B15:C15"/>
    <mergeCell ref="B16:C16"/>
    <mergeCell ref="C5:J5"/>
    <mergeCell ref="C7:J7"/>
    <mergeCell ref="C2:H2"/>
    <mergeCell ref="C3:D3"/>
    <mergeCell ref="B10:C10"/>
    <mergeCell ref="B11:C11"/>
    <mergeCell ref="B17:C17"/>
    <mergeCell ref="C6:L6"/>
    <mergeCell ref="B18:C18"/>
    <mergeCell ref="B19:C19"/>
    <mergeCell ref="B20:C20"/>
    <mergeCell ref="C4:L4"/>
    <mergeCell ref="A8:L8"/>
    <mergeCell ref="B12:C12"/>
    <mergeCell ref="B13:C13"/>
    <mergeCell ref="B14:C14"/>
  </mergeCells>
  <printOptions/>
  <pageMargins left="0.196850393700787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62.421875" style="8" customWidth="1"/>
    <col min="2" max="3" width="13.00390625" style="8" customWidth="1"/>
    <col min="4" max="4" width="12.28125" style="8" customWidth="1"/>
    <col min="5" max="7" width="0.2890625" style="8" hidden="1" customWidth="1"/>
    <col min="8" max="8" width="0.9921875" style="8" hidden="1" customWidth="1"/>
    <col min="9" max="9" width="0.42578125" style="8" hidden="1" customWidth="1"/>
    <col min="10" max="10" width="9.140625" style="8" hidden="1" customWidth="1"/>
    <col min="11" max="16384" width="9.140625" style="8" customWidth="1"/>
  </cols>
  <sheetData>
    <row r="1" spans="2:4" ht="12.75" customHeight="1">
      <c r="B1" s="341" t="s">
        <v>240</v>
      </c>
      <c r="C1" s="341"/>
      <c r="D1" s="341"/>
    </row>
    <row r="2" spans="2:4" ht="57" customHeight="1">
      <c r="B2" s="341" t="s">
        <v>325</v>
      </c>
      <c r="C2" s="341"/>
      <c r="D2" s="341"/>
    </row>
    <row r="3" spans="1:4" ht="56.25" customHeight="1">
      <c r="A3" s="342" t="s">
        <v>327</v>
      </c>
      <c r="B3" s="342"/>
      <c r="C3" s="342"/>
      <c r="D3" s="342"/>
    </row>
    <row r="4" ht="12.75">
      <c r="E4" s="8" t="s">
        <v>71</v>
      </c>
    </row>
    <row r="5" spans="1:4" ht="38.25" customHeight="1">
      <c r="A5" s="343" t="s">
        <v>233</v>
      </c>
      <c r="B5" s="344"/>
      <c r="C5" s="343" t="s">
        <v>234</v>
      </c>
      <c r="D5" s="344"/>
    </row>
    <row r="6" spans="1:5" s="100" customFormat="1" ht="18.75" customHeight="1">
      <c r="A6" s="345" t="s">
        <v>235</v>
      </c>
      <c r="B6" s="345"/>
      <c r="C6" s="346"/>
      <c r="D6" s="347"/>
      <c r="E6" s="100" t="s">
        <v>71</v>
      </c>
    </row>
    <row r="7" spans="1:4" ht="18.75" customHeight="1">
      <c r="A7" s="334" t="s">
        <v>236</v>
      </c>
      <c r="B7" s="334"/>
      <c r="C7" s="336">
        <v>1</v>
      </c>
      <c r="D7" s="337"/>
    </row>
    <row r="8" spans="1:4" ht="18.75" customHeight="1">
      <c r="A8" s="338" t="s">
        <v>237</v>
      </c>
      <c r="B8" s="338"/>
      <c r="C8" s="336">
        <v>1</v>
      </c>
      <c r="D8" s="337"/>
    </row>
    <row r="9" spans="1:4" ht="31.5" customHeight="1">
      <c r="A9" s="339" t="s">
        <v>238</v>
      </c>
      <c r="B9" s="339"/>
      <c r="C9" s="340"/>
      <c r="D9" s="340"/>
    </row>
    <row r="10" spans="1:4" ht="31.5" customHeight="1">
      <c r="A10" s="334" t="s">
        <v>239</v>
      </c>
      <c r="B10" s="334"/>
      <c r="C10" s="335">
        <v>1</v>
      </c>
      <c r="D10" s="335"/>
    </row>
    <row r="11" ht="12.75">
      <c r="A11" s="101"/>
    </row>
    <row r="12" spans="1:5" ht="12.75">
      <c r="A12" s="101"/>
      <c r="E12" s="8" t="s">
        <v>71</v>
      </c>
    </row>
    <row r="13" ht="12.75">
      <c r="A13" s="101"/>
    </row>
    <row r="14" ht="12.75">
      <c r="A14" s="101"/>
    </row>
    <row r="15" ht="12.75">
      <c r="A15" s="101"/>
    </row>
    <row r="16" ht="12.75">
      <c r="A16" s="101"/>
    </row>
    <row r="17" ht="12.75">
      <c r="A17" s="101"/>
    </row>
    <row r="18" ht="12.75">
      <c r="A18" s="101"/>
    </row>
    <row r="19" ht="12.75">
      <c r="A19" s="101"/>
    </row>
    <row r="20" ht="12.75">
      <c r="A20" s="101"/>
    </row>
    <row r="21" ht="12.75">
      <c r="A21" s="101"/>
    </row>
  </sheetData>
  <sheetProtection/>
  <mergeCells count="15">
    <mergeCell ref="B1:D1"/>
    <mergeCell ref="B2:D2"/>
    <mergeCell ref="A3:D3"/>
    <mergeCell ref="A5:B5"/>
    <mergeCell ref="C5:D5"/>
    <mergeCell ref="A6:B6"/>
    <mergeCell ref="C6:D6"/>
    <mergeCell ref="A10:B10"/>
    <mergeCell ref="C10:D10"/>
    <mergeCell ref="A7:B7"/>
    <mergeCell ref="C7:D7"/>
    <mergeCell ref="A8:B8"/>
    <mergeCell ref="C8:D8"/>
    <mergeCell ref="A9:B9"/>
    <mergeCell ref="C9:D9"/>
  </mergeCells>
  <printOptions/>
  <pageMargins left="0.7874015748031497" right="0.1968503937007874" top="0.66" bottom="0.1968503937007874" header="0.99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3"/>
  <sheetViews>
    <sheetView zoomScalePageLayoutView="0" workbookViewId="0" topLeftCell="A3">
      <selection activeCell="B2" sqref="B2:D2"/>
    </sheetView>
  </sheetViews>
  <sheetFormatPr defaultColWidth="9.140625" defaultRowHeight="12.75"/>
  <cols>
    <col min="1" max="1" width="8.28125" style="59" customWidth="1"/>
    <col min="2" max="2" width="5.140625" style="59" customWidth="1"/>
    <col min="3" max="3" width="15.57421875" style="59" customWidth="1"/>
    <col min="4" max="4" width="103.140625" style="78" customWidth="1"/>
    <col min="5" max="16384" width="9.140625" style="60" customWidth="1"/>
  </cols>
  <sheetData>
    <row r="1" spans="4:16" ht="12.75" hidden="1">
      <c r="D1" s="75" t="s">
        <v>156</v>
      </c>
      <c r="E1" s="33"/>
      <c r="F1" s="46"/>
      <c r="G1" s="3"/>
      <c r="H1" s="3"/>
      <c r="I1" s="3"/>
      <c r="J1" s="3"/>
      <c r="K1" s="3"/>
      <c r="L1" s="3"/>
      <c r="M1" s="32"/>
      <c r="N1" s="32"/>
      <c r="O1" s="32"/>
      <c r="P1" s="32"/>
    </row>
    <row r="2" spans="4:16" ht="35.25" customHeight="1" hidden="1">
      <c r="D2" s="76" t="s">
        <v>140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ht="12.75" customHeight="1">
      <c r="D3" s="77" t="s">
        <v>232</v>
      </c>
    </row>
    <row r="4" ht="25.5" customHeight="1">
      <c r="D4" s="77" t="s">
        <v>325</v>
      </c>
    </row>
    <row r="5" ht="6" customHeight="1"/>
    <row r="6" spans="1:4" ht="14.25" customHeight="1">
      <c r="A6" s="348" t="s">
        <v>328</v>
      </c>
      <c r="B6" s="348"/>
      <c r="C6" s="348"/>
      <c r="D6" s="348"/>
    </row>
    <row r="7" ht="6" customHeight="1">
      <c r="D7" s="79"/>
    </row>
    <row r="8" spans="1:4" s="61" customFormat="1" ht="25.5" customHeight="1">
      <c r="A8" s="349" t="s">
        <v>105</v>
      </c>
      <c r="B8" s="349"/>
      <c r="C8" s="349"/>
      <c r="D8" s="350" t="s">
        <v>106</v>
      </c>
    </row>
    <row r="9" spans="1:4" s="61" customFormat="1" ht="36" customHeight="1">
      <c r="A9" s="62" t="s">
        <v>107</v>
      </c>
      <c r="B9" s="349" t="s">
        <v>108</v>
      </c>
      <c r="C9" s="349"/>
      <c r="D9" s="351"/>
    </row>
    <row r="10" spans="1:4" ht="16.5" customHeight="1">
      <c r="A10" s="352" t="s">
        <v>198</v>
      </c>
      <c r="B10" s="353"/>
      <c r="C10" s="353"/>
      <c r="D10" s="354"/>
    </row>
    <row r="11" spans="1:4" ht="39" customHeight="1">
      <c r="A11" s="69">
        <v>862</v>
      </c>
      <c r="B11" s="355" t="s">
        <v>167</v>
      </c>
      <c r="C11" s="356"/>
      <c r="D11" s="80" t="s">
        <v>12</v>
      </c>
    </row>
    <row r="12" spans="1:4" ht="39" customHeight="1">
      <c r="A12" s="71">
        <v>862</v>
      </c>
      <c r="B12" s="355" t="s">
        <v>168</v>
      </c>
      <c r="C12" s="356"/>
      <c r="D12" s="80" t="s">
        <v>12</v>
      </c>
    </row>
    <row r="13" spans="1:4" ht="39" customHeight="1">
      <c r="A13" s="71">
        <v>862</v>
      </c>
      <c r="B13" s="355" t="s">
        <v>109</v>
      </c>
      <c r="C13" s="357"/>
      <c r="D13" s="80" t="s">
        <v>110</v>
      </c>
    </row>
    <row r="14" spans="1:4" ht="39" customHeight="1">
      <c r="A14" s="71">
        <v>862</v>
      </c>
      <c r="B14" s="355" t="s">
        <v>111</v>
      </c>
      <c r="C14" s="357"/>
      <c r="D14" s="80" t="s">
        <v>112</v>
      </c>
    </row>
    <row r="15" spans="1:4" s="63" customFormat="1" ht="39" customHeight="1">
      <c r="A15" s="71">
        <v>862</v>
      </c>
      <c r="B15" s="355" t="s">
        <v>113</v>
      </c>
      <c r="C15" s="357"/>
      <c r="D15" s="81" t="s">
        <v>130</v>
      </c>
    </row>
    <row r="16" spans="1:4" ht="39" customHeight="1">
      <c r="A16" s="71">
        <v>862</v>
      </c>
      <c r="B16" s="355" t="s">
        <v>13</v>
      </c>
      <c r="C16" s="357"/>
      <c r="D16" s="81" t="s">
        <v>131</v>
      </c>
    </row>
    <row r="17" spans="1:4" s="63" customFormat="1" ht="28.5" customHeight="1">
      <c r="A17" s="71">
        <v>862</v>
      </c>
      <c r="B17" s="355" t="s">
        <v>114</v>
      </c>
      <c r="C17" s="357"/>
      <c r="D17" s="80" t="s">
        <v>170</v>
      </c>
    </row>
    <row r="18" spans="1:4" s="63" customFormat="1" ht="39" customHeight="1">
      <c r="A18" s="71">
        <v>862</v>
      </c>
      <c r="B18" s="355" t="s">
        <v>115</v>
      </c>
      <c r="C18" s="357"/>
      <c r="D18" s="80" t="s">
        <v>169</v>
      </c>
    </row>
    <row r="19" spans="1:4" ht="16.5" customHeight="1">
      <c r="A19" s="71">
        <v>862</v>
      </c>
      <c r="B19" s="355" t="s">
        <v>116</v>
      </c>
      <c r="C19" s="357"/>
      <c r="D19" s="80" t="s">
        <v>132</v>
      </c>
    </row>
    <row r="20" spans="1:4" ht="18" customHeight="1">
      <c r="A20" s="71">
        <v>862</v>
      </c>
      <c r="B20" s="355" t="s">
        <v>117</v>
      </c>
      <c r="C20" s="357"/>
      <c r="D20" s="80" t="s">
        <v>133</v>
      </c>
    </row>
    <row r="21" spans="1:4" ht="39" customHeight="1">
      <c r="A21" s="71">
        <v>862</v>
      </c>
      <c r="B21" s="355" t="s">
        <v>118</v>
      </c>
      <c r="C21" s="357"/>
      <c r="D21" s="80" t="s">
        <v>171</v>
      </c>
    </row>
    <row r="22" spans="1:4" ht="39.75" customHeight="1">
      <c r="A22" s="71">
        <v>862</v>
      </c>
      <c r="B22" s="355" t="s">
        <v>119</v>
      </c>
      <c r="C22" s="357"/>
      <c r="D22" s="80" t="s">
        <v>134</v>
      </c>
    </row>
    <row r="23" spans="1:4" ht="38.25" customHeight="1">
      <c r="A23" s="71">
        <v>862</v>
      </c>
      <c r="B23" s="355" t="s">
        <v>120</v>
      </c>
      <c r="C23" s="357"/>
      <c r="D23" s="80" t="s">
        <v>135</v>
      </c>
    </row>
    <row r="24" spans="1:4" ht="39" customHeight="1">
      <c r="A24" s="71">
        <v>862</v>
      </c>
      <c r="B24" s="355" t="s">
        <v>121</v>
      </c>
      <c r="C24" s="357"/>
      <c r="D24" s="80" t="s">
        <v>136</v>
      </c>
    </row>
    <row r="25" spans="1:4" ht="29.25" customHeight="1">
      <c r="A25" s="74">
        <v>862</v>
      </c>
      <c r="B25" s="355" t="s">
        <v>200</v>
      </c>
      <c r="C25" s="357"/>
      <c r="D25" s="80" t="s">
        <v>201</v>
      </c>
    </row>
    <row r="26" spans="1:4" ht="27" customHeight="1">
      <c r="A26" s="73">
        <v>862</v>
      </c>
      <c r="B26" s="355" t="s">
        <v>122</v>
      </c>
      <c r="C26" s="357"/>
      <c r="D26" s="80" t="s">
        <v>172</v>
      </c>
    </row>
    <row r="27" spans="1:4" ht="16.5" customHeight="1">
      <c r="A27" s="71">
        <v>862</v>
      </c>
      <c r="B27" s="355" t="s">
        <v>123</v>
      </c>
      <c r="C27" s="357"/>
      <c r="D27" s="80" t="s">
        <v>137</v>
      </c>
    </row>
    <row r="28" spans="1:4" ht="25.5" customHeight="1">
      <c r="A28" s="71">
        <v>862</v>
      </c>
      <c r="B28" s="355" t="s">
        <v>124</v>
      </c>
      <c r="C28" s="357"/>
      <c r="D28" s="82" t="s">
        <v>138</v>
      </c>
    </row>
    <row r="29" spans="1:4" ht="25.5" customHeight="1">
      <c r="A29" s="71">
        <v>862</v>
      </c>
      <c r="B29" s="355" t="s">
        <v>125</v>
      </c>
      <c r="C29" s="357"/>
      <c r="D29" s="82" t="s">
        <v>157</v>
      </c>
    </row>
    <row r="30" spans="1:4" ht="25.5" customHeight="1">
      <c r="A30" s="71">
        <v>862</v>
      </c>
      <c r="B30" s="355" t="s">
        <v>126</v>
      </c>
      <c r="C30" s="357"/>
      <c r="D30" s="82" t="s">
        <v>158</v>
      </c>
    </row>
    <row r="31" spans="1:4" ht="16.5" customHeight="1">
      <c r="A31" s="71">
        <v>862</v>
      </c>
      <c r="B31" s="360" t="s">
        <v>127</v>
      </c>
      <c r="C31" s="360"/>
      <c r="D31" s="80" t="s">
        <v>159</v>
      </c>
    </row>
    <row r="32" spans="1:4" ht="16.5" customHeight="1">
      <c r="A32" s="71">
        <v>862</v>
      </c>
      <c r="B32" s="360" t="s">
        <v>128</v>
      </c>
      <c r="C32" s="360"/>
      <c r="D32" s="80" t="s">
        <v>160</v>
      </c>
    </row>
    <row r="33" spans="1:4" ht="16.5" customHeight="1">
      <c r="A33" s="71">
        <v>862</v>
      </c>
      <c r="B33" s="360" t="s">
        <v>374</v>
      </c>
      <c r="C33" s="360"/>
      <c r="D33" s="80" t="s">
        <v>150</v>
      </c>
    </row>
    <row r="34" spans="1:4" ht="16.5" customHeight="1">
      <c r="A34" s="71">
        <v>862</v>
      </c>
      <c r="B34" s="360" t="s">
        <v>373</v>
      </c>
      <c r="C34" s="360"/>
      <c r="D34" s="80" t="s">
        <v>151</v>
      </c>
    </row>
    <row r="35" spans="1:4" ht="16.5" customHeight="1">
      <c r="A35" s="71">
        <v>862</v>
      </c>
      <c r="B35" s="363" t="s">
        <v>372</v>
      </c>
      <c r="C35" s="363"/>
      <c r="D35" s="80" t="s">
        <v>161</v>
      </c>
    </row>
    <row r="36" spans="1:4" ht="16.5" customHeight="1">
      <c r="A36" s="71">
        <v>862</v>
      </c>
      <c r="B36" s="363" t="s">
        <v>371</v>
      </c>
      <c r="C36" s="363"/>
      <c r="D36" s="80" t="s">
        <v>162</v>
      </c>
    </row>
    <row r="37" spans="1:4" ht="26.25" customHeight="1">
      <c r="A37" s="71">
        <v>862</v>
      </c>
      <c r="B37" s="363" t="s">
        <v>366</v>
      </c>
      <c r="C37" s="363"/>
      <c r="D37" s="80" t="s">
        <v>163</v>
      </c>
    </row>
    <row r="38" spans="1:4" s="64" customFormat="1" ht="25.5" customHeight="1">
      <c r="A38" s="71">
        <v>862</v>
      </c>
      <c r="B38" s="361" t="s">
        <v>370</v>
      </c>
      <c r="C38" s="361"/>
      <c r="D38" s="83" t="s">
        <v>164</v>
      </c>
    </row>
    <row r="39" spans="1:4" s="64" customFormat="1" ht="38.25" customHeight="1">
      <c r="A39" s="71">
        <v>862</v>
      </c>
      <c r="B39" s="358" t="s">
        <v>369</v>
      </c>
      <c r="C39" s="359"/>
      <c r="D39" s="84" t="s">
        <v>174</v>
      </c>
    </row>
    <row r="40" spans="1:4" ht="39" customHeight="1">
      <c r="A40" s="71">
        <v>862</v>
      </c>
      <c r="B40" s="360" t="s">
        <v>392</v>
      </c>
      <c r="C40" s="360"/>
      <c r="D40" s="80" t="s">
        <v>165</v>
      </c>
    </row>
    <row r="41" spans="1:4" ht="12.75" customHeight="1">
      <c r="A41" s="362"/>
      <c r="B41" s="362"/>
      <c r="C41" s="362"/>
      <c r="D41" s="362"/>
    </row>
    <row r="42" spans="1:4" ht="12" customHeight="1">
      <c r="A42" s="65"/>
      <c r="B42" s="65"/>
      <c r="C42" s="65"/>
      <c r="D42" s="85"/>
    </row>
    <row r="43" spans="1:4" s="52" customFormat="1" ht="12.75">
      <c r="A43" s="66"/>
      <c r="B43" s="66"/>
      <c r="C43" s="66"/>
      <c r="D43" s="86"/>
    </row>
  </sheetData>
  <sheetProtection/>
  <mergeCells count="36">
    <mergeCell ref="B25:C25"/>
    <mergeCell ref="B38:C38"/>
    <mergeCell ref="B40:C40"/>
    <mergeCell ref="A41:D41"/>
    <mergeCell ref="B32:C32"/>
    <mergeCell ref="B33:C33"/>
    <mergeCell ref="B34:C34"/>
    <mergeCell ref="B35:C35"/>
    <mergeCell ref="B36:C36"/>
    <mergeCell ref="B37:C37"/>
    <mergeCell ref="B39:C39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6:D6"/>
    <mergeCell ref="A8:C8"/>
    <mergeCell ref="D8:D9"/>
    <mergeCell ref="B9:C9"/>
    <mergeCell ref="A10:D10"/>
    <mergeCell ref="B12:C12"/>
    <mergeCell ref="B11:C11"/>
  </mergeCells>
  <printOptions/>
  <pageMargins left="0.5905511811023623" right="0.1968503937007874" top="0.6692913385826772" bottom="0.15748031496062992" header="0.984251968503937" footer="0.35433070866141736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zoomScalePageLayoutView="0" workbookViewId="0" topLeftCell="A1">
      <selection activeCell="B2" sqref="B2:D2"/>
    </sheetView>
  </sheetViews>
  <sheetFormatPr defaultColWidth="22.28125" defaultRowHeight="12.75"/>
  <cols>
    <col min="1" max="1" width="12.421875" style="102" customWidth="1"/>
    <col min="2" max="2" width="27.00390625" style="102" customWidth="1"/>
    <col min="3" max="3" width="60.57421875" style="104" customWidth="1"/>
    <col min="4" max="4" width="13.140625" style="104" customWidth="1"/>
    <col min="5" max="5" width="8.28125" style="104" customWidth="1"/>
    <col min="6" max="16384" width="22.28125" style="104" customWidth="1"/>
  </cols>
  <sheetData>
    <row r="1" ht="12.75" customHeight="1">
      <c r="C1" s="103" t="s">
        <v>104</v>
      </c>
    </row>
    <row r="2" spans="3:4" ht="39.75" customHeight="1">
      <c r="C2" s="105" t="s">
        <v>325</v>
      </c>
      <c r="D2" s="106"/>
    </row>
    <row r="3" spans="3:4" ht="25.5" customHeight="1">
      <c r="C3" s="106"/>
      <c r="D3" s="106"/>
    </row>
    <row r="4" spans="1:3" ht="40.5" customHeight="1">
      <c r="A4" s="364" t="s">
        <v>242</v>
      </c>
      <c r="B4" s="364"/>
      <c r="C4" s="364"/>
    </row>
    <row r="5" spans="1:3" ht="33.75" customHeight="1">
      <c r="A5" s="365" t="s">
        <v>105</v>
      </c>
      <c r="B5" s="365"/>
      <c r="C5" s="365" t="s">
        <v>243</v>
      </c>
    </row>
    <row r="6" spans="1:3" ht="25.5">
      <c r="A6" s="107" t="s">
        <v>107</v>
      </c>
      <c r="B6" s="107" t="s">
        <v>244</v>
      </c>
      <c r="C6" s="365"/>
    </row>
    <row r="7" spans="1:3" ht="27" customHeight="1">
      <c r="A7" s="366" t="s">
        <v>245</v>
      </c>
      <c r="B7" s="366"/>
      <c r="C7" s="366"/>
    </row>
    <row r="8" spans="1:3" ht="24" customHeight="1">
      <c r="A8" s="107">
        <v>182</v>
      </c>
      <c r="B8" s="108" t="s">
        <v>75</v>
      </c>
      <c r="C8" s="109" t="s">
        <v>246</v>
      </c>
    </row>
    <row r="9" spans="1:3" ht="24" customHeight="1">
      <c r="A9" s="107">
        <v>182</v>
      </c>
      <c r="B9" s="108" t="s">
        <v>3</v>
      </c>
      <c r="C9" s="110" t="s">
        <v>247</v>
      </c>
    </row>
    <row r="10" spans="1:5" ht="24" customHeight="1">
      <c r="A10" s="111">
        <v>182</v>
      </c>
      <c r="B10" s="112" t="s">
        <v>7</v>
      </c>
      <c r="C10" s="113" t="s">
        <v>248</v>
      </c>
      <c r="D10" s="114"/>
      <c r="E10" s="114"/>
    </row>
    <row r="11" spans="1:5" ht="24" customHeight="1">
      <c r="A11" s="107">
        <v>182</v>
      </c>
      <c r="B11" s="112" t="s">
        <v>10</v>
      </c>
      <c r="C11" s="113" t="s">
        <v>249</v>
      </c>
      <c r="D11" s="114"/>
      <c r="E11" s="114"/>
    </row>
    <row r="13" spans="1:3" ht="52.5" customHeight="1">
      <c r="A13" s="367" t="s">
        <v>250</v>
      </c>
      <c r="B13" s="367"/>
      <c r="C13" s="367"/>
    </row>
    <row r="14" spans="1:3" ht="63.75" customHeight="1">
      <c r="A14" s="367" t="s">
        <v>251</v>
      </c>
      <c r="B14" s="367"/>
      <c r="C14" s="367"/>
    </row>
    <row r="15" ht="28.5" customHeight="1"/>
    <row r="16" ht="15.75" customHeight="1"/>
    <row r="17" ht="15.75" customHeight="1"/>
    <row r="18" ht="15.75" customHeight="1"/>
    <row r="19" ht="15.75" customHeight="1"/>
    <row r="20" ht="39" customHeight="1"/>
    <row r="21" ht="27.75" customHeight="1"/>
    <row r="22" ht="15.75" customHeight="1"/>
    <row r="23" ht="15.75" customHeight="1"/>
    <row r="24" ht="28.5" customHeight="1"/>
    <row r="25" ht="40.5" customHeight="1"/>
    <row r="26" ht="25.5" customHeight="1"/>
    <row r="27" ht="30" customHeight="1"/>
    <row r="28" ht="30.75" customHeight="1"/>
    <row r="29" ht="24.75" customHeight="1"/>
    <row r="30" ht="29.25" customHeight="1"/>
    <row r="31" ht="42.75" customHeight="1"/>
    <row r="32" ht="19.5" customHeight="1"/>
    <row r="33" ht="42.75" customHeight="1"/>
    <row r="34" ht="25.5" customHeight="1"/>
    <row r="35" ht="15.75" customHeight="1"/>
    <row r="36" ht="52.5" customHeight="1"/>
    <row r="37" ht="12" customHeight="1"/>
    <row r="38" ht="12.75" customHeight="1" hidden="1"/>
  </sheetData>
  <sheetProtection/>
  <mergeCells count="6">
    <mergeCell ref="A4:C4"/>
    <mergeCell ref="A5:B5"/>
    <mergeCell ref="C5:C6"/>
    <mergeCell ref="A7:C7"/>
    <mergeCell ref="A13:C13"/>
    <mergeCell ref="A14:C14"/>
  </mergeCells>
  <hyperlinks>
    <hyperlink ref="C8" r:id="rId1" display="consultantplus://offline/ref=E88F0C8B57259A8E16544F9DC27CADC22B5729ED2611768BD70DA245F7B40A830CAE0EEB7020B4B475BE71c8fBK"/>
  </hyperlinks>
  <printOptions/>
  <pageMargins left="0.6692913385826772" right="0.1968503937007874" top="0.52" bottom="0.2" header="0.95" footer="0.26"/>
  <pageSetup horizontalDpi="600" verticalDpi="600" orientation="portrait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4">
      <selection activeCell="C31" sqref="C31:C35"/>
    </sheetView>
  </sheetViews>
  <sheetFormatPr defaultColWidth="9.140625" defaultRowHeight="12.75"/>
  <cols>
    <col min="1" max="1" width="13.421875" style="115" customWidth="1"/>
    <col min="2" max="2" width="27.00390625" style="115" customWidth="1"/>
    <col min="3" max="3" width="58.57421875" style="101" customWidth="1"/>
    <col min="4" max="16384" width="9.140625" style="101" customWidth="1"/>
  </cols>
  <sheetData>
    <row r="1" spans="3:6" ht="12.75" customHeight="1">
      <c r="C1" s="116" t="s">
        <v>241</v>
      </c>
      <c r="D1" s="117"/>
      <c r="E1" s="117"/>
      <c r="F1" s="117"/>
    </row>
    <row r="2" spans="3:6" ht="39" customHeight="1">
      <c r="C2" s="105" t="s">
        <v>325</v>
      </c>
      <c r="D2" s="117"/>
      <c r="E2" s="117"/>
      <c r="F2" s="117"/>
    </row>
    <row r="4" spans="1:3" ht="45" customHeight="1">
      <c r="A4" s="368" t="s">
        <v>329</v>
      </c>
      <c r="B4" s="368"/>
      <c r="C4" s="368"/>
    </row>
    <row r="6" spans="1:3" s="118" customFormat="1" ht="60" customHeight="1">
      <c r="A6" s="41" t="s">
        <v>252</v>
      </c>
      <c r="B6" s="41" t="s">
        <v>253</v>
      </c>
      <c r="C6" s="41" t="s">
        <v>254</v>
      </c>
    </row>
    <row r="7" spans="1:3" ht="30.75" customHeight="1">
      <c r="A7" s="369" t="s">
        <v>198</v>
      </c>
      <c r="B7" s="370"/>
      <c r="C7" s="371"/>
    </row>
    <row r="8" spans="1:4" s="120" customFormat="1" ht="38.25" customHeight="1">
      <c r="A8" s="9">
        <v>862</v>
      </c>
      <c r="B8" s="5" t="s">
        <v>255</v>
      </c>
      <c r="C8" s="12" t="s">
        <v>256</v>
      </c>
      <c r="D8" s="119"/>
    </row>
    <row r="9" spans="1:4" s="120" customFormat="1" ht="33.75" customHeight="1">
      <c r="A9" s="9">
        <v>862</v>
      </c>
      <c r="B9" s="5" t="s">
        <v>257</v>
      </c>
      <c r="C9" s="12" t="s">
        <v>258</v>
      </c>
      <c r="D9" s="119"/>
    </row>
    <row r="10" spans="1:3" ht="12.75">
      <c r="A10" s="121"/>
      <c r="B10" s="121"/>
      <c r="C10" s="114"/>
    </row>
  </sheetData>
  <sheetProtection/>
  <mergeCells count="2">
    <mergeCell ref="A4:C4"/>
    <mergeCell ref="A7:C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"/>
  <sheetViews>
    <sheetView tabSelected="1" zoomScalePageLayoutView="0" workbookViewId="0" topLeftCell="A46">
      <selection activeCell="B52" sqref="B52:G52"/>
    </sheetView>
  </sheetViews>
  <sheetFormatPr defaultColWidth="9.140625" defaultRowHeight="12.75"/>
  <cols>
    <col min="1" max="1" width="22.421875" style="10" customWidth="1"/>
    <col min="2" max="2" width="53.421875" style="1" customWidth="1"/>
    <col min="3" max="3" width="0.13671875" style="1" customWidth="1"/>
    <col min="4" max="4" width="12.00390625" style="1" customWidth="1"/>
    <col min="5" max="5" width="13.57421875" style="1" hidden="1" customWidth="1"/>
    <col min="6" max="7" width="12.00390625" style="1" hidden="1" customWidth="1"/>
    <col min="8" max="20" width="9.140625" style="1" customWidth="1"/>
    <col min="21" max="21" width="10.7109375" style="1" customWidth="1"/>
    <col min="22" max="16384" width="9.140625" style="1" customWidth="1"/>
  </cols>
  <sheetData>
    <row r="1" ht="12.75" hidden="1">
      <c r="B1" s="20" t="s">
        <v>82</v>
      </c>
    </row>
    <row r="2" spans="2:7" ht="33" customHeight="1" hidden="1">
      <c r="B2" s="331" t="s">
        <v>180</v>
      </c>
      <c r="C2" s="331"/>
      <c r="D2" s="331"/>
      <c r="E2" s="331"/>
      <c r="F2" s="331"/>
      <c r="G2" s="331"/>
    </row>
    <row r="3" spans="1:7" ht="16.5" customHeight="1">
      <c r="A3" s="20"/>
      <c r="B3" s="91" t="s">
        <v>166</v>
      </c>
      <c r="C3" s="67"/>
      <c r="D3" s="67"/>
      <c r="E3" s="67"/>
      <c r="F3" s="67"/>
      <c r="G3" s="67"/>
    </row>
    <row r="4" spans="1:10" ht="42" customHeight="1">
      <c r="A4" s="20"/>
      <c r="B4" s="372" t="s">
        <v>410</v>
      </c>
      <c r="C4" s="372"/>
      <c r="D4" s="372"/>
      <c r="E4" s="372"/>
      <c r="F4" s="321"/>
      <c r="G4" s="321"/>
      <c r="H4" s="321"/>
      <c r="I4" s="321"/>
      <c r="J4" s="321"/>
    </row>
    <row r="5" spans="1:7" ht="15" customHeight="1">
      <c r="A5" s="20"/>
      <c r="B5" s="323"/>
      <c r="C5" s="323"/>
      <c r="D5" s="323"/>
      <c r="E5" s="323"/>
      <c r="F5" s="323"/>
      <c r="G5" s="323"/>
    </row>
    <row r="6" spans="1:7" ht="26.25" customHeight="1">
      <c r="A6" s="20"/>
      <c r="B6" s="324" t="s">
        <v>411</v>
      </c>
      <c r="C6" s="323"/>
      <c r="D6" s="323"/>
      <c r="E6" s="323"/>
      <c r="F6" s="323"/>
      <c r="G6" s="323"/>
    </row>
    <row r="7" spans="1:7" ht="42.75" customHeight="1">
      <c r="A7" s="20"/>
      <c r="B7" s="332" t="s">
        <v>419</v>
      </c>
      <c r="C7" s="332"/>
      <c r="D7" s="332"/>
      <c r="E7" s="332"/>
      <c r="F7" s="332"/>
      <c r="G7" s="332"/>
    </row>
    <row r="8" spans="1:7" ht="24.75" customHeight="1">
      <c r="A8" s="333" t="s">
        <v>420</v>
      </c>
      <c r="B8" s="333"/>
      <c r="C8" s="333"/>
      <c r="D8" s="333"/>
      <c r="E8" s="333"/>
      <c r="F8" s="333"/>
      <c r="G8" s="333"/>
    </row>
    <row r="9" spans="1:7" ht="12.75">
      <c r="A9" s="20"/>
      <c r="B9" s="3"/>
      <c r="C9" s="24"/>
      <c r="D9" s="24"/>
      <c r="E9" s="24"/>
      <c r="F9" s="24"/>
      <c r="G9" s="24" t="s">
        <v>412</v>
      </c>
    </row>
    <row r="10" spans="1:2" ht="12.75" hidden="1">
      <c r="A10" s="10" t="s">
        <v>71</v>
      </c>
      <c r="B10" s="14" t="s">
        <v>71</v>
      </c>
    </row>
    <row r="11" spans="1:7" s="10" customFormat="1" ht="30.75" customHeight="1">
      <c r="A11" s="30" t="s">
        <v>72</v>
      </c>
      <c r="B11" s="30" t="s">
        <v>38</v>
      </c>
      <c r="C11" s="5" t="s">
        <v>182</v>
      </c>
      <c r="D11" s="5" t="s">
        <v>436</v>
      </c>
      <c r="E11" s="5" t="s">
        <v>397</v>
      </c>
      <c r="F11" s="5" t="s">
        <v>182</v>
      </c>
      <c r="G11" s="5" t="s">
        <v>231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3</v>
      </c>
      <c r="G12" s="9">
        <v>4</v>
      </c>
    </row>
    <row r="13" spans="1:7" s="2" customFormat="1" ht="12.75" hidden="1">
      <c r="A13" s="21" t="s">
        <v>73</v>
      </c>
      <c r="B13" s="16" t="s">
        <v>1</v>
      </c>
      <c r="C13" s="92">
        <f>C14+C18+C29+C21</f>
        <v>1452800</v>
      </c>
      <c r="D13" s="92">
        <f>D14+D18+D29+D21</f>
        <v>0</v>
      </c>
      <c r="E13" s="92">
        <f>E14+E18+E29+E21</f>
        <v>1452800</v>
      </c>
      <c r="F13" s="92">
        <f>F14+F18+F29+F21</f>
        <v>829900</v>
      </c>
      <c r="G13" s="92">
        <f>G14+G18+G29+G21</f>
        <v>858700</v>
      </c>
    </row>
    <row r="14" spans="1:7" s="2" customFormat="1" ht="16.5" customHeight="1" hidden="1">
      <c r="A14" s="21" t="s">
        <v>74</v>
      </c>
      <c r="B14" s="13" t="s">
        <v>55</v>
      </c>
      <c r="C14" s="92">
        <f>C15</f>
        <v>48000</v>
      </c>
      <c r="D14" s="92">
        <f>D15</f>
        <v>0</v>
      </c>
      <c r="E14" s="92">
        <f>E15</f>
        <v>48000</v>
      </c>
      <c r="F14" s="92">
        <f>F15</f>
        <v>62000</v>
      </c>
      <c r="G14" s="92">
        <f>G15</f>
        <v>65000</v>
      </c>
    </row>
    <row r="15" spans="1:7" ht="12.75" hidden="1">
      <c r="A15" s="9" t="s">
        <v>75</v>
      </c>
      <c r="B15" s="15" t="s">
        <v>76</v>
      </c>
      <c r="C15" s="93">
        <f>C16+C17</f>
        <v>48000</v>
      </c>
      <c r="D15" s="93">
        <f>D16+D17</f>
        <v>0</v>
      </c>
      <c r="E15" s="93">
        <f>E16+E17</f>
        <v>48000</v>
      </c>
      <c r="F15" s="93">
        <f>F16+F17</f>
        <v>62000</v>
      </c>
      <c r="G15" s="93">
        <f>G16+G17</f>
        <v>65000</v>
      </c>
    </row>
    <row r="16" spans="1:7" ht="65.25" customHeight="1" hidden="1">
      <c r="A16" s="9" t="s">
        <v>0</v>
      </c>
      <c r="B16" s="17" t="s">
        <v>153</v>
      </c>
      <c r="C16" s="93">
        <v>48000</v>
      </c>
      <c r="D16" s="93">
        <v>0</v>
      </c>
      <c r="E16" s="93">
        <f>C16+D16</f>
        <v>48000</v>
      </c>
      <c r="F16" s="93">
        <v>62000</v>
      </c>
      <c r="G16" s="93">
        <v>65000</v>
      </c>
    </row>
    <row r="17" spans="1:7" ht="56.25" customHeight="1" hidden="1">
      <c r="A17" s="9" t="s">
        <v>178</v>
      </c>
      <c r="B17" s="17" t="s">
        <v>179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s="2" customFormat="1" ht="19.5" customHeight="1" hidden="1">
      <c r="A18" s="21" t="s">
        <v>2</v>
      </c>
      <c r="B18" s="13" t="s">
        <v>77</v>
      </c>
      <c r="C18" s="19">
        <f aca="true" t="shared" si="0" ref="C18:G19">C19</f>
        <v>0</v>
      </c>
      <c r="D18" s="19">
        <f t="shared" si="0"/>
        <v>0</v>
      </c>
      <c r="E18" s="19">
        <f t="shared" si="0"/>
        <v>0</v>
      </c>
      <c r="F18" s="19">
        <f t="shared" si="0"/>
        <v>0</v>
      </c>
      <c r="G18" s="19">
        <f t="shared" si="0"/>
        <v>0</v>
      </c>
    </row>
    <row r="19" spans="1:7" ht="18.75" customHeight="1" hidden="1">
      <c r="A19" s="9" t="s">
        <v>3</v>
      </c>
      <c r="B19" s="12" t="s">
        <v>78</v>
      </c>
      <c r="C19" s="18">
        <f t="shared" si="0"/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</row>
    <row r="20" spans="1:7" ht="20.25" customHeight="1" hidden="1">
      <c r="A20" s="9" t="s">
        <v>4</v>
      </c>
      <c r="B20" s="12" t="s">
        <v>78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s="28" customFormat="1" ht="18.75" customHeight="1" hidden="1">
      <c r="A21" s="26" t="s">
        <v>5</v>
      </c>
      <c r="B21" s="27" t="s">
        <v>6</v>
      </c>
      <c r="C21" s="94">
        <f>C22+C24</f>
        <v>1305200</v>
      </c>
      <c r="D21" s="94">
        <f>D22+D24</f>
        <v>0</v>
      </c>
      <c r="E21" s="94">
        <f>E22+E24</f>
        <v>1305200</v>
      </c>
      <c r="F21" s="94">
        <f>F22+F24</f>
        <v>668300</v>
      </c>
      <c r="G21" s="94">
        <f>G22+G24</f>
        <v>694100</v>
      </c>
    </row>
    <row r="22" spans="1:7" s="8" customFormat="1" ht="18.75" customHeight="1" hidden="1">
      <c r="A22" s="25" t="s">
        <v>7</v>
      </c>
      <c r="B22" s="29" t="s">
        <v>8</v>
      </c>
      <c r="C22" s="95">
        <f>C23</f>
        <v>19200</v>
      </c>
      <c r="D22" s="95">
        <f>D23</f>
        <v>0</v>
      </c>
      <c r="E22" s="95">
        <f>E23</f>
        <v>19200</v>
      </c>
      <c r="F22" s="95">
        <f>F23</f>
        <v>24000</v>
      </c>
      <c r="G22" s="95">
        <f>G23</f>
        <v>26000</v>
      </c>
    </row>
    <row r="23" spans="1:7" s="8" customFormat="1" ht="39.75" customHeight="1" hidden="1">
      <c r="A23" s="25" t="s">
        <v>9</v>
      </c>
      <c r="B23" s="29" t="s">
        <v>141</v>
      </c>
      <c r="C23" s="95">
        <v>19200</v>
      </c>
      <c r="D23" s="95">
        <v>0</v>
      </c>
      <c r="E23" s="95">
        <f>C23+D23</f>
        <v>19200</v>
      </c>
      <c r="F23" s="95">
        <v>24000</v>
      </c>
      <c r="G23" s="95">
        <v>26000</v>
      </c>
    </row>
    <row r="24" spans="1:7" s="8" customFormat="1" ht="18.75" customHeight="1" hidden="1">
      <c r="A24" s="26" t="s">
        <v>10</v>
      </c>
      <c r="B24" s="27" t="s">
        <v>11</v>
      </c>
      <c r="C24" s="94">
        <f>C27+C25</f>
        <v>1286000</v>
      </c>
      <c r="D24" s="94">
        <f>D27+D25</f>
        <v>0</v>
      </c>
      <c r="E24" s="94">
        <f>E27+E25</f>
        <v>1286000</v>
      </c>
      <c r="F24" s="94">
        <f>F27+F25</f>
        <v>644300</v>
      </c>
      <c r="G24" s="94">
        <f>G27+G25</f>
        <v>668100</v>
      </c>
    </row>
    <row r="25" spans="1:7" s="8" customFormat="1" ht="16.5" customHeight="1" hidden="1">
      <c r="A25" s="23" t="s">
        <v>144</v>
      </c>
      <c r="B25" s="29" t="s">
        <v>145</v>
      </c>
      <c r="C25" s="95">
        <f>C26</f>
        <v>1003000</v>
      </c>
      <c r="D25" s="95">
        <f>D26</f>
        <v>0</v>
      </c>
      <c r="E25" s="95">
        <f>E26</f>
        <v>1003000</v>
      </c>
      <c r="F25" s="95">
        <v>480000</v>
      </c>
      <c r="G25" s="95">
        <f>G26</f>
        <v>485000</v>
      </c>
    </row>
    <row r="26" spans="1:7" s="8" customFormat="1" ht="26.25" customHeight="1" hidden="1">
      <c r="A26" s="23" t="s">
        <v>142</v>
      </c>
      <c r="B26" s="29" t="s">
        <v>146</v>
      </c>
      <c r="C26" s="95">
        <v>1003000</v>
      </c>
      <c r="D26" s="95">
        <v>0</v>
      </c>
      <c r="E26" s="95">
        <f>C26+D26</f>
        <v>1003000</v>
      </c>
      <c r="F26" s="95">
        <v>48000</v>
      </c>
      <c r="G26" s="95">
        <v>485000</v>
      </c>
    </row>
    <row r="27" spans="1:7" s="8" customFormat="1" ht="15.75" customHeight="1" hidden="1">
      <c r="A27" s="23" t="s">
        <v>148</v>
      </c>
      <c r="B27" s="29" t="s">
        <v>147</v>
      </c>
      <c r="C27" s="95">
        <f>C28</f>
        <v>283000</v>
      </c>
      <c r="D27" s="95">
        <f>D28</f>
        <v>0</v>
      </c>
      <c r="E27" s="95">
        <f>E28</f>
        <v>283000</v>
      </c>
      <c r="F27" s="95">
        <f>F28</f>
        <v>164300</v>
      </c>
      <c r="G27" s="95">
        <f>G28</f>
        <v>183100</v>
      </c>
    </row>
    <row r="28" spans="1:7" s="8" customFormat="1" ht="37.5" customHeight="1" hidden="1">
      <c r="A28" s="23" t="s">
        <v>143</v>
      </c>
      <c r="B28" s="29" t="s">
        <v>149</v>
      </c>
      <c r="C28" s="95">
        <v>283000</v>
      </c>
      <c r="D28" s="95">
        <v>0</v>
      </c>
      <c r="E28" s="95">
        <f>C28+D28</f>
        <v>283000</v>
      </c>
      <c r="F28" s="95">
        <v>164300</v>
      </c>
      <c r="G28" s="95">
        <v>183100</v>
      </c>
    </row>
    <row r="29" spans="1:7" s="2" customFormat="1" ht="37.5" customHeight="1" hidden="1">
      <c r="A29" s="21" t="s">
        <v>79</v>
      </c>
      <c r="B29" s="13" t="s">
        <v>56</v>
      </c>
      <c r="C29" s="96">
        <f aca="true" t="shared" si="1" ref="C29:G31">C30</f>
        <v>99600</v>
      </c>
      <c r="D29" s="96">
        <f t="shared" si="1"/>
        <v>0</v>
      </c>
      <c r="E29" s="96">
        <f t="shared" si="1"/>
        <v>99600</v>
      </c>
      <c r="F29" s="96">
        <f t="shared" si="1"/>
        <v>99600</v>
      </c>
      <c r="G29" s="96">
        <f t="shared" si="1"/>
        <v>99600</v>
      </c>
    </row>
    <row r="30" spans="1:7" ht="76.5" customHeight="1" hidden="1">
      <c r="A30" s="9" t="s">
        <v>80</v>
      </c>
      <c r="B30" s="31" t="s">
        <v>65</v>
      </c>
      <c r="C30" s="97">
        <f t="shared" si="1"/>
        <v>99600</v>
      </c>
      <c r="D30" s="97">
        <f t="shared" si="1"/>
        <v>0</v>
      </c>
      <c r="E30" s="97">
        <f t="shared" si="1"/>
        <v>99600</v>
      </c>
      <c r="F30" s="97">
        <f t="shared" si="1"/>
        <v>99600</v>
      </c>
      <c r="G30" s="97">
        <f t="shared" si="1"/>
        <v>99600</v>
      </c>
    </row>
    <row r="31" spans="1:7" ht="68.25" customHeight="1" hidden="1">
      <c r="A31" s="9" t="s">
        <v>81</v>
      </c>
      <c r="B31" s="17" t="s">
        <v>139</v>
      </c>
      <c r="C31" s="97">
        <f t="shared" si="1"/>
        <v>99600</v>
      </c>
      <c r="D31" s="97">
        <f t="shared" si="1"/>
        <v>0</v>
      </c>
      <c r="E31" s="97">
        <f t="shared" si="1"/>
        <v>99600</v>
      </c>
      <c r="F31" s="97">
        <f t="shared" si="1"/>
        <v>99600</v>
      </c>
      <c r="G31" s="97">
        <f t="shared" si="1"/>
        <v>99600</v>
      </c>
    </row>
    <row r="32" spans="1:7" ht="68.25" customHeight="1" hidden="1">
      <c r="A32" s="9" t="s">
        <v>13</v>
      </c>
      <c r="B32" s="12" t="s">
        <v>131</v>
      </c>
      <c r="C32" s="93">
        <v>99600</v>
      </c>
      <c r="D32" s="93">
        <v>0</v>
      </c>
      <c r="E32" s="93">
        <f>C32+D32</f>
        <v>99600</v>
      </c>
      <c r="F32" s="93">
        <v>99600</v>
      </c>
      <c r="G32" s="93">
        <v>99600</v>
      </c>
    </row>
    <row r="33" spans="1:14" s="4" customFormat="1" ht="17.25" customHeight="1">
      <c r="A33" s="11" t="s">
        <v>14</v>
      </c>
      <c r="B33" s="13" t="s">
        <v>15</v>
      </c>
      <c r="C33" s="98">
        <f>C34</f>
        <v>932556.71</v>
      </c>
      <c r="D33" s="98">
        <f>D34</f>
        <v>0</v>
      </c>
      <c r="E33" s="98">
        <f>E34</f>
        <v>932556.71</v>
      </c>
      <c r="F33" s="98">
        <f>F34</f>
        <v>1189457.13</v>
      </c>
      <c r="G33" s="98">
        <f>G34</f>
        <v>1235168.1600000001</v>
      </c>
      <c r="H33" s="22"/>
      <c r="I33" s="22"/>
      <c r="J33" s="22"/>
      <c r="K33" s="22"/>
      <c r="L33" s="22"/>
      <c r="M33" s="22"/>
      <c r="N33" s="22"/>
    </row>
    <row r="34" spans="1:14" s="3" customFormat="1" ht="26.25" customHeight="1">
      <c r="A34" s="5" t="s">
        <v>16</v>
      </c>
      <c r="B34" s="12" t="s">
        <v>17</v>
      </c>
      <c r="C34" s="257">
        <f>C35+C40+C46</f>
        <v>932556.71</v>
      </c>
      <c r="D34" s="257">
        <f>D35+D40+D46</f>
        <v>0</v>
      </c>
      <c r="E34" s="257">
        <f>E35+E40+E46</f>
        <v>932556.71</v>
      </c>
      <c r="F34" s="257">
        <f>F35+F40+F46</f>
        <v>1189457.13</v>
      </c>
      <c r="G34" s="257">
        <f>G35+G40+G46</f>
        <v>1235168.1600000001</v>
      </c>
      <c r="H34" s="7"/>
      <c r="I34" s="7"/>
      <c r="J34" s="7"/>
      <c r="K34" s="7"/>
      <c r="L34" s="7"/>
      <c r="M34" s="7"/>
      <c r="N34" s="7"/>
    </row>
    <row r="35" spans="1:14" s="4" customFormat="1" ht="28.5" customHeight="1" hidden="1">
      <c r="A35" s="11" t="s">
        <v>185</v>
      </c>
      <c r="B35" s="13" t="s">
        <v>190</v>
      </c>
      <c r="C35" s="98">
        <f>C36+C38</f>
        <v>0</v>
      </c>
      <c r="D35" s="98">
        <f>D36+D38</f>
        <v>0</v>
      </c>
      <c r="E35" s="98">
        <f>E36+E38</f>
        <v>0</v>
      </c>
      <c r="F35" s="98">
        <f>F36+F38</f>
        <v>335500</v>
      </c>
      <c r="G35" s="98">
        <f>G36+G38</f>
        <v>337100</v>
      </c>
      <c r="H35" s="22"/>
      <c r="I35" s="22"/>
      <c r="J35" s="22"/>
      <c r="K35" s="22"/>
      <c r="L35" s="22"/>
      <c r="M35" s="22"/>
      <c r="N35" s="22"/>
    </row>
    <row r="36" spans="1:14" s="3" customFormat="1" ht="17.25" customHeight="1" hidden="1">
      <c r="A36" s="5" t="s">
        <v>186</v>
      </c>
      <c r="B36" s="12" t="s">
        <v>18</v>
      </c>
      <c r="C36" s="257">
        <f>C37</f>
        <v>0</v>
      </c>
      <c r="D36" s="257">
        <f>D37</f>
        <v>0</v>
      </c>
      <c r="E36" s="257">
        <f>E37</f>
        <v>0</v>
      </c>
      <c r="F36" s="257">
        <f>F37</f>
        <v>65500</v>
      </c>
      <c r="G36" s="257">
        <f>G37</f>
        <v>61000</v>
      </c>
      <c r="H36" s="7"/>
      <c r="I36" s="7"/>
      <c r="J36" s="7"/>
      <c r="K36" s="7"/>
      <c r="L36" s="7"/>
      <c r="M36" s="7"/>
      <c r="N36" s="7"/>
    </row>
    <row r="37" spans="1:11" s="3" customFormat="1" ht="25.5" customHeight="1" hidden="1">
      <c r="A37" s="5" t="s">
        <v>187</v>
      </c>
      <c r="B37" s="101" t="s">
        <v>150</v>
      </c>
      <c r="C37" s="257">
        <v>0</v>
      </c>
      <c r="D37" s="257">
        <v>0</v>
      </c>
      <c r="E37" s="257">
        <f>C37+D37</f>
        <v>0</v>
      </c>
      <c r="F37" s="257">
        <v>65500</v>
      </c>
      <c r="G37" s="257">
        <v>61000</v>
      </c>
      <c r="I37" s="6"/>
      <c r="J37" s="6"/>
      <c r="K37" s="6"/>
    </row>
    <row r="38" spans="1:13" s="3" customFormat="1" ht="30" customHeight="1" hidden="1">
      <c r="A38" s="5" t="s">
        <v>188</v>
      </c>
      <c r="B38" s="12" t="s">
        <v>19</v>
      </c>
      <c r="C38" s="257">
        <f>C39</f>
        <v>0</v>
      </c>
      <c r="D38" s="257">
        <f>D39</f>
        <v>0</v>
      </c>
      <c r="E38" s="257">
        <f>E39</f>
        <v>0</v>
      </c>
      <c r="F38" s="257">
        <f>F39</f>
        <v>270000</v>
      </c>
      <c r="G38" s="257">
        <f>G39</f>
        <v>276100</v>
      </c>
      <c r="H38" s="7"/>
      <c r="I38" s="7"/>
      <c r="J38" s="7"/>
      <c r="K38" s="7"/>
      <c r="L38" s="7"/>
      <c r="M38" s="7"/>
    </row>
    <row r="39" spans="1:11" s="3" customFormat="1" ht="26.25" customHeight="1" hidden="1">
      <c r="A39" s="5" t="s">
        <v>189</v>
      </c>
      <c r="B39" s="12" t="s">
        <v>151</v>
      </c>
      <c r="C39" s="257">
        <v>0</v>
      </c>
      <c r="D39" s="257">
        <v>0</v>
      </c>
      <c r="E39" s="257">
        <f>C39+D39</f>
        <v>0</v>
      </c>
      <c r="F39" s="257">
        <v>270000</v>
      </c>
      <c r="G39" s="257">
        <v>276100</v>
      </c>
      <c r="I39" s="6"/>
      <c r="J39" s="6"/>
      <c r="K39" s="6"/>
    </row>
    <row r="40" spans="1:12" s="4" customFormat="1" ht="27.75" customHeight="1" hidden="1">
      <c r="A40" s="11" t="s">
        <v>413</v>
      </c>
      <c r="B40" s="13" t="s">
        <v>191</v>
      </c>
      <c r="C40" s="98">
        <f>C41+C43</f>
        <v>79305</v>
      </c>
      <c r="D40" s="98">
        <f>D41+D43</f>
        <v>0</v>
      </c>
      <c r="E40" s="98">
        <f>E41+E43</f>
        <v>79305</v>
      </c>
      <c r="F40" s="98">
        <f>F41+F43</f>
        <v>64678</v>
      </c>
      <c r="G40" s="98">
        <f>G41+G43</f>
        <v>67003</v>
      </c>
      <c r="H40" s="22"/>
      <c r="I40" s="22"/>
      <c r="J40" s="22"/>
      <c r="K40" s="22"/>
      <c r="L40" s="22"/>
    </row>
    <row r="41" spans="1:13" s="3" customFormat="1" ht="39.75" customHeight="1" hidden="1">
      <c r="A41" s="5" t="s">
        <v>414</v>
      </c>
      <c r="B41" s="12" t="s">
        <v>20</v>
      </c>
      <c r="C41" s="257">
        <f>C42</f>
        <v>79305</v>
      </c>
      <c r="D41" s="257">
        <f>D42</f>
        <v>0</v>
      </c>
      <c r="E41" s="257">
        <f>E42</f>
        <v>79305</v>
      </c>
      <c r="F41" s="257">
        <f>F42</f>
        <v>64678</v>
      </c>
      <c r="G41" s="257">
        <f>G42</f>
        <v>67003</v>
      </c>
      <c r="H41" s="7"/>
      <c r="I41" s="7"/>
      <c r="J41" s="7"/>
      <c r="K41" s="7"/>
      <c r="L41" s="7"/>
      <c r="M41" s="7"/>
    </row>
    <row r="42" spans="1:11" s="3" customFormat="1" ht="39.75" customHeight="1" hidden="1">
      <c r="A42" s="5" t="s">
        <v>415</v>
      </c>
      <c r="B42" s="12" t="s">
        <v>192</v>
      </c>
      <c r="C42" s="257">
        <v>79305</v>
      </c>
      <c r="D42" s="257">
        <v>0</v>
      </c>
      <c r="E42" s="257">
        <f>C42+D42</f>
        <v>79305</v>
      </c>
      <c r="F42" s="257">
        <v>64678</v>
      </c>
      <c r="G42" s="257">
        <v>67003</v>
      </c>
      <c r="I42" s="6"/>
      <c r="K42" s="6"/>
    </row>
    <row r="43" spans="1:13" s="3" customFormat="1" ht="27" customHeight="1" hidden="1">
      <c r="A43" s="5" t="s">
        <v>193</v>
      </c>
      <c r="B43" s="12" t="s">
        <v>21</v>
      </c>
      <c r="C43" s="257">
        <f aca="true" t="shared" si="2" ref="C43:G44">C44</f>
        <v>0</v>
      </c>
      <c r="D43" s="257">
        <f t="shared" si="2"/>
        <v>0</v>
      </c>
      <c r="E43" s="257">
        <f t="shared" si="2"/>
        <v>0</v>
      </c>
      <c r="F43" s="257">
        <f t="shared" si="2"/>
        <v>0</v>
      </c>
      <c r="G43" s="257">
        <f t="shared" si="2"/>
        <v>0</v>
      </c>
      <c r="H43" s="7"/>
      <c r="I43" s="7"/>
      <c r="J43" s="7"/>
      <c r="K43" s="7"/>
      <c r="L43" s="7"/>
      <c r="M43" s="7"/>
    </row>
    <row r="44" spans="1:13" s="3" customFormat="1" ht="26.25" customHeight="1" hidden="1">
      <c r="A44" s="5" t="s">
        <v>194</v>
      </c>
      <c r="B44" s="12" t="s">
        <v>152</v>
      </c>
      <c r="C44" s="257">
        <f t="shared" si="2"/>
        <v>0</v>
      </c>
      <c r="D44" s="257">
        <f t="shared" si="2"/>
        <v>0</v>
      </c>
      <c r="E44" s="257">
        <f t="shared" si="2"/>
        <v>0</v>
      </c>
      <c r="F44" s="257">
        <f t="shared" si="2"/>
        <v>0</v>
      </c>
      <c r="G44" s="257">
        <f t="shared" si="2"/>
        <v>0</v>
      </c>
      <c r="H44" s="7"/>
      <c r="I44" s="7"/>
      <c r="J44" s="7"/>
      <c r="K44" s="7"/>
      <c r="L44" s="7"/>
      <c r="M44" s="7"/>
    </row>
    <row r="45" spans="1:11" s="3" customFormat="1" ht="39" customHeight="1" hidden="1">
      <c r="A45" s="5"/>
      <c r="B45" s="12" t="s">
        <v>36</v>
      </c>
      <c r="C45" s="257"/>
      <c r="D45" s="257"/>
      <c r="E45" s="257"/>
      <c r="F45" s="257"/>
      <c r="G45" s="257"/>
      <c r="I45" s="6"/>
      <c r="K45" s="6"/>
    </row>
    <row r="46" spans="1:12" s="4" customFormat="1" ht="16.5" customHeight="1">
      <c r="A46" s="11" t="s">
        <v>416</v>
      </c>
      <c r="B46" s="13" t="s">
        <v>69</v>
      </c>
      <c r="C46" s="98">
        <f aca="true" t="shared" si="3" ref="C46:G47">C47</f>
        <v>853251.71</v>
      </c>
      <c r="D46" s="98">
        <f t="shared" si="3"/>
        <v>0</v>
      </c>
      <c r="E46" s="98">
        <f t="shared" si="3"/>
        <v>853251.71</v>
      </c>
      <c r="F46" s="98">
        <f t="shared" si="3"/>
        <v>789279.13</v>
      </c>
      <c r="G46" s="98">
        <f t="shared" si="3"/>
        <v>831065.16</v>
      </c>
      <c r="H46" s="22"/>
      <c r="I46" s="22"/>
      <c r="J46" s="22"/>
      <c r="K46" s="22"/>
      <c r="L46" s="22"/>
    </row>
    <row r="47" spans="1:12" s="4" customFormat="1" ht="54" customHeight="1">
      <c r="A47" s="5" t="s">
        <v>417</v>
      </c>
      <c r="B47" s="12" t="s">
        <v>173</v>
      </c>
      <c r="C47" s="257">
        <f t="shared" si="3"/>
        <v>853251.71</v>
      </c>
      <c r="D47" s="257">
        <f t="shared" si="3"/>
        <v>0</v>
      </c>
      <c r="E47" s="257">
        <f t="shared" si="3"/>
        <v>853251.71</v>
      </c>
      <c r="F47" s="257">
        <f t="shared" si="3"/>
        <v>789279.13</v>
      </c>
      <c r="G47" s="257">
        <f t="shared" si="3"/>
        <v>831065.16</v>
      </c>
      <c r="H47" s="22"/>
      <c r="I47" s="22"/>
      <c r="J47" s="22"/>
      <c r="K47" s="22"/>
      <c r="L47" s="22"/>
    </row>
    <row r="48" spans="1:11" s="3" customFormat="1" ht="65.25" customHeight="1">
      <c r="A48" s="5" t="s">
        <v>418</v>
      </c>
      <c r="B48" s="12" t="s">
        <v>174</v>
      </c>
      <c r="C48" s="257">
        <f>300+805562+300+47089.71</f>
        <v>853251.71</v>
      </c>
      <c r="D48" s="257">
        <v>0</v>
      </c>
      <c r="E48" s="257">
        <f>C48+D48</f>
        <v>853251.71</v>
      </c>
      <c r="F48" s="257">
        <f>300+788979.13</f>
        <v>789279.13</v>
      </c>
      <c r="G48" s="257">
        <f>300+830765.16</f>
        <v>831065.16</v>
      </c>
      <c r="I48" s="6"/>
      <c r="K48" s="6"/>
    </row>
    <row r="49" spans="1:12" s="4" customFormat="1" ht="17.25" customHeight="1">
      <c r="A49" s="11"/>
      <c r="B49" s="13" t="s">
        <v>37</v>
      </c>
      <c r="C49" s="98">
        <f>C13+C33</f>
        <v>2385356.71</v>
      </c>
      <c r="D49" s="98">
        <f>D13+D33</f>
        <v>0</v>
      </c>
      <c r="E49" s="98">
        <f>E13+E33</f>
        <v>2385356.71</v>
      </c>
      <c r="F49" s="98">
        <f>F13+F33</f>
        <v>2019357.13</v>
      </c>
      <c r="G49" s="98">
        <f>G13+G33</f>
        <v>2093868.1600000001</v>
      </c>
      <c r="H49" s="22"/>
      <c r="I49" s="22"/>
      <c r="J49" s="22"/>
      <c r="K49" s="22"/>
      <c r="L49" s="22"/>
    </row>
    <row r="52" spans="2:7" ht="13.5" customHeight="1">
      <c r="B52" s="333"/>
      <c r="C52" s="333"/>
      <c r="D52" s="333"/>
      <c r="E52" s="333"/>
      <c r="F52" s="333"/>
      <c r="G52" s="333"/>
    </row>
  </sheetData>
  <sheetProtection/>
  <mergeCells count="5">
    <mergeCell ref="B2:G2"/>
    <mergeCell ref="B4:E4"/>
    <mergeCell ref="B7:G7"/>
    <mergeCell ref="A8:G8"/>
    <mergeCell ref="B52:G52"/>
  </mergeCells>
  <printOptions/>
  <pageMargins left="0.7086614173228347" right="0.35433070866141736" top="0.35433070866141736" bottom="0.31496062992125984" header="1.141732283464567" footer="0.3937007874015748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X208"/>
  <sheetViews>
    <sheetView zoomScalePageLayoutView="0" workbookViewId="0" topLeftCell="B3">
      <selection activeCell="N9" sqref="N9"/>
    </sheetView>
  </sheetViews>
  <sheetFormatPr defaultColWidth="9.140625" defaultRowHeight="12.75"/>
  <cols>
    <col min="1" max="1" width="2.421875" style="32" hidden="1" customWidth="1"/>
    <col min="2" max="2" width="42.8515625" style="33" customWidth="1"/>
    <col min="3" max="3" width="4.8515625" style="33" hidden="1" customWidth="1"/>
    <col min="4" max="5" width="6.28125" style="33" hidden="1" customWidth="1"/>
    <col min="6" max="6" width="3.8515625" style="161" customWidth="1"/>
    <col min="7" max="7" width="3.57421875" style="239" customWidth="1"/>
    <col min="8" max="8" width="3.7109375" style="239" customWidth="1"/>
    <col min="9" max="9" width="6.57421875" style="239" hidden="1" customWidth="1"/>
    <col min="10" max="10" width="12.7109375" style="254" customWidth="1"/>
    <col min="11" max="11" width="4.00390625" style="40" customWidth="1"/>
    <col min="12" max="12" width="0.2890625" style="277" hidden="1" customWidth="1"/>
    <col min="13" max="13" width="12.140625" style="277" hidden="1" customWidth="1"/>
    <col min="14" max="14" width="12.140625" style="277" customWidth="1"/>
    <col min="15" max="16" width="12.140625" style="275" hidden="1" customWidth="1"/>
    <col min="17" max="17" width="0.2890625" style="32" customWidth="1"/>
    <col min="18" max="18" width="11.421875" style="32" customWidth="1"/>
    <col min="19" max="21" width="13.57421875" style="32" customWidth="1"/>
    <col min="22" max="22" width="13.8515625" style="32" customWidth="1"/>
    <col min="23" max="24" width="11.7109375" style="32" bestFit="1" customWidth="1"/>
    <col min="25" max="16384" width="9.140625" style="32" customWidth="1"/>
  </cols>
  <sheetData>
    <row r="1" spans="6:14" ht="12.75" hidden="1">
      <c r="F1" s="213" t="s">
        <v>83</v>
      </c>
      <c r="G1" s="3"/>
      <c r="H1" s="3"/>
      <c r="I1" s="3"/>
      <c r="J1" s="245"/>
      <c r="K1" s="3"/>
      <c r="L1" s="245"/>
      <c r="M1" s="245"/>
      <c r="N1" s="245"/>
    </row>
    <row r="2" spans="6:16" ht="55.5" customHeight="1" hidden="1">
      <c r="F2" s="395" t="s">
        <v>180</v>
      </c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6:16" ht="13.5" customHeight="1">
      <c r="F3" s="396" t="s">
        <v>166</v>
      </c>
      <c r="G3" s="396"/>
      <c r="H3" s="396"/>
      <c r="I3" s="396"/>
      <c r="J3" s="396"/>
      <c r="K3" s="396"/>
      <c r="L3" s="396"/>
      <c r="M3" s="315"/>
      <c r="N3" s="315"/>
      <c r="O3" s="276"/>
      <c r="P3" s="276"/>
    </row>
    <row r="4" spans="6:19" ht="52.5" customHeight="1">
      <c r="F4" s="397" t="s">
        <v>409</v>
      </c>
      <c r="G4" s="397"/>
      <c r="H4" s="397"/>
      <c r="I4" s="397"/>
      <c r="J4" s="397"/>
      <c r="K4" s="397"/>
      <c r="L4" s="397"/>
      <c r="M4" s="397"/>
      <c r="N4" s="397"/>
      <c r="O4" s="316"/>
      <c r="P4" s="316"/>
      <c r="Q4" s="316"/>
      <c r="R4" s="316"/>
      <c r="S4" s="116"/>
    </row>
    <row r="5" spans="6:16" ht="14.25" customHeight="1">
      <c r="F5" s="396" t="s">
        <v>432</v>
      </c>
      <c r="G5" s="396"/>
      <c r="H5" s="396"/>
      <c r="I5" s="396"/>
      <c r="J5" s="396"/>
      <c r="K5" s="396"/>
      <c r="L5" s="396"/>
      <c r="M5" s="315"/>
      <c r="N5" s="315"/>
      <c r="O5" s="246"/>
      <c r="P5" s="246"/>
    </row>
    <row r="6" spans="6:18" ht="45.75" customHeight="1">
      <c r="F6" s="394" t="s">
        <v>393</v>
      </c>
      <c r="G6" s="394"/>
      <c r="H6" s="394"/>
      <c r="I6" s="394"/>
      <c r="J6" s="394"/>
      <c r="K6" s="394"/>
      <c r="L6" s="394"/>
      <c r="M6" s="394"/>
      <c r="N6" s="394"/>
      <c r="O6" s="317"/>
      <c r="P6" s="317"/>
      <c r="Q6" s="317"/>
      <c r="R6" s="317"/>
    </row>
    <row r="7" spans="1:17" ht="26.25" customHeight="1">
      <c r="A7" s="400" t="s">
        <v>394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</row>
    <row r="8" spans="1:16" ht="15" customHeight="1">
      <c r="A8" s="34"/>
      <c r="B8" s="34"/>
      <c r="C8" s="37"/>
      <c r="D8" s="37"/>
      <c r="E8" s="37"/>
      <c r="G8" s="34"/>
      <c r="H8" s="34"/>
      <c r="I8" s="34"/>
      <c r="J8" s="247"/>
      <c r="K8" s="34"/>
      <c r="N8" s="278" t="s">
        <v>292</v>
      </c>
      <c r="O8" s="247"/>
      <c r="P8" s="278" t="s">
        <v>292</v>
      </c>
    </row>
    <row r="9" spans="1:16" s="45" customFormat="1" ht="24" customHeight="1">
      <c r="A9" s="398" t="s">
        <v>38</v>
      </c>
      <c r="B9" s="399"/>
      <c r="C9" s="44" t="s">
        <v>84</v>
      </c>
      <c r="D9" s="44" t="s">
        <v>85</v>
      </c>
      <c r="E9" s="44" t="s">
        <v>319</v>
      </c>
      <c r="F9" s="222" t="s">
        <v>86</v>
      </c>
      <c r="G9" s="223" t="s">
        <v>39</v>
      </c>
      <c r="H9" s="223" t="s">
        <v>40</v>
      </c>
      <c r="I9" s="223" t="s">
        <v>87</v>
      </c>
      <c r="J9" s="223" t="s">
        <v>41</v>
      </c>
      <c r="K9" s="163" t="s">
        <v>42</v>
      </c>
      <c r="L9" s="279" t="s">
        <v>395</v>
      </c>
      <c r="M9" s="279" t="s">
        <v>396</v>
      </c>
      <c r="N9" s="279" t="s">
        <v>437</v>
      </c>
      <c r="O9" s="279">
        <v>2020</v>
      </c>
      <c r="P9" s="279">
        <v>2021</v>
      </c>
    </row>
    <row r="10" spans="1:16" s="45" customFormat="1" ht="19.5" customHeight="1" hidden="1">
      <c r="A10" s="44"/>
      <c r="B10" s="214" t="s">
        <v>88</v>
      </c>
      <c r="C10" s="224">
        <v>63</v>
      </c>
      <c r="D10" s="44"/>
      <c r="E10" s="44"/>
      <c r="F10" s="225"/>
      <c r="G10" s="163"/>
      <c r="H10" s="163"/>
      <c r="I10" s="163"/>
      <c r="J10" s="223"/>
      <c r="K10" s="163"/>
      <c r="L10" s="280">
        <f>L11</f>
        <v>5387226.71</v>
      </c>
      <c r="M10" s="280"/>
      <c r="N10" s="280"/>
      <c r="O10" s="280">
        <f>O11</f>
        <v>2136979</v>
      </c>
      <c r="P10" s="280">
        <f>P11</f>
        <v>2233550</v>
      </c>
    </row>
    <row r="11" spans="1:21" s="45" customFormat="1" ht="17.25" customHeight="1">
      <c r="A11" s="53"/>
      <c r="B11" s="215" t="s">
        <v>199</v>
      </c>
      <c r="C11" s="169">
        <v>63</v>
      </c>
      <c r="D11" s="169">
        <v>0</v>
      </c>
      <c r="E11" s="169">
        <v>11</v>
      </c>
      <c r="F11" s="226">
        <v>862</v>
      </c>
      <c r="G11" s="166"/>
      <c r="H11" s="166"/>
      <c r="I11" s="166"/>
      <c r="J11" s="230"/>
      <c r="K11" s="166"/>
      <c r="L11" s="281">
        <f>L115</f>
        <v>5387226.71</v>
      </c>
      <c r="M11" s="281">
        <f>M115</f>
        <v>1294019</v>
      </c>
      <c r="N11" s="281">
        <f>N115</f>
        <v>6681245.71</v>
      </c>
      <c r="O11" s="281">
        <f>O115</f>
        <v>2136979</v>
      </c>
      <c r="P11" s="281">
        <f>P115</f>
        <v>2233550</v>
      </c>
      <c r="S11" s="271"/>
      <c r="T11" s="271"/>
      <c r="U11" s="271"/>
    </row>
    <row r="12" spans="1:22" s="35" customFormat="1" ht="15.75" customHeight="1">
      <c r="A12" s="379" t="s">
        <v>43</v>
      </c>
      <c r="B12" s="380"/>
      <c r="C12" s="169">
        <v>63</v>
      </c>
      <c r="D12" s="169">
        <v>0</v>
      </c>
      <c r="E12" s="169">
        <v>11</v>
      </c>
      <c r="F12" s="205">
        <v>862</v>
      </c>
      <c r="G12" s="181" t="s">
        <v>44</v>
      </c>
      <c r="H12" s="227"/>
      <c r="I12" s="227"/>
      <c r="J12" s="248"/>
      <c r="K12" s="227"/>
      <c r="L12" s="282">
        <f>L17+L45+L49+L13+L34+L41</f>
        <v>1494394</v>
      </c>
      <c r="M12" s="282">
        <f>M17+M45+M49+M13+M34+M41</f>
        <v>49919.000000000015</v>
      </c>
      <c r="N12" s="282">
        <f>N17+N45+N49+N13+N34+N41</f>
        <v>1544313</v>
      </c>
      <c r="O12" s="282">
        <f>O17+O45+O49+O13+O34</f>
        <v>1356444</v>
      </c>
      <c r="P12" s="282">
        <f>P17+P45+P49+P13+P34</f>
        <v>1317944</v>
      </c>
      <c r="R12" s="45"/>
      <c r="S12" s="271"/>
      <c r="T12" s="271"/>
      <c r="U12" s="271"/>
      <c r="V12" s="45"/>
    </row>
    <row r="13" spans="1:22" ht="37.5" customHeight="1">
      <c r="A13" s="383" t="s">
        <v>64</v>
      </c>
      <c r="B13" s="384"/>
      <c r="C13" s="169">
        <v>63</v>
      </c>
      <c r="D13" s="169">
        <v>0</v>
      </c>
      <c r="E13" s="169">
        <v>11</v>
      </c>
      <c r="F13" s="205">
        <v>862</v>
      </c>
      <c r="G13" s="191" t="s">
        <v>44</v>
      </c>
      <c r="H13" s="191" t="s">
        <v>45</v>
      </c>
      <c r="I13" s="191"/>
      <c r="J13" s="249"/>
      <c r="K13" s="166"/>
      <c r="L13" s="283">
        <f>L14</f>
        <v>447300</v>
      </c>
      <c r="M13" s="283">
        <f>M14</f>
        <v>-103869.39</v>
      </c>
      <c r="N13" s="283">
        <f>N14</f>
        <v>343430.61</v>
      </c>
      <c r="O13" s="283">
        <f>O14</f>
        <v>447300</v>
      </c>
      <c r="P13" s="283">
        <f>P14</f>
        <v>447300</v>
      </c>
      <c r="R13" s="45"/>
      <c r="S13" s="271"/>
      <c r="T13" s="271"/>
      <c r="U13" s="271"/>
      <c r="V13" s="45"/>
    </row>
    <row r="14" spans="1:16" ht="27.75" customHeight="1">
      <c r="A14" s="56" t="s">
        <v>90</v>
      </c>
      <c r="B14" s="171" t="s">
        <v>206</v>
      </c>
      <c r="C14" s="53">
        <v>63</v>
      </c>
      <c r="D14" s="53">
        <v>0</v>
      </c>
      <c r="E14" s="53">
        <v>11</v>
      </c>
      <c r="F14" s="201">
        <v>862</v>
      </c>
      <c r="G14" s="195" t="s">
        <v>44</v>
      </c>
      <c r="H14" s="195" t="s">
        <v>45</v>
      </c>
      <c r="I14" s="195" t="s">
        <v>320</v>
      </c>
      <c r="J14" s="250" t="s">
        <v>205</v>
      </c>
      <c r="K14" s="229" t="s">
        <v>91</v>
      </c>
      <c r="L14" s="283">
        <f aca="true" t="shared" si="0" ref="L14:P15">L15</f>
        <v>447300</v>
      </c>
      <c r="M14" s="283">
        <f t="shared" si="0"/>
        <v>-103869.39</v>
      </c>
      <c r="N14" s="283">
        <f t="shared" si="0"/>
        <v>343430.61</v>
      </c>
      <c r="O14" s="283">
        <f t="shared" si="0"/>
        <v>447300</v>
      </c>
      <c r="P14" s="283">
        <f t="shared" si="0"/>
        <v>447300</v>
      </c>
    </row>
    <row r="15" spans="1:16" ht="62.25" customHeight="1">
      <c r="A15" s="48" t="s">
        <v>89</v>
      </c>
      <c r="B15" s="48" t="s">
        <v>89</v>
      </c>
      <c r="C15" s="53">
        <v>63</v>
      </c>
      <c r="D15" s="53">
        <v>0</v>
      </c>
      <c r="E15" s="53">
        <v>11</v>
      </c>
      <c r="F15" s="201">
        <v>862</v>
      </c>
      <c r="G15" s="195" t="s">
        <v>44</v>
      </c>
      <c r="H15" s="195" t="s">
        <v>45</v>
      </c>
      <c r="I15" s="195" t="s">
        <v>320</v>
      </c>
      <c r="J15" s="250" t="s">
        <v>205</v>
      </c>
      <c r="K15" s="228" t="s">
        <v>23</v>
      </c>
      <c r="L15" s="283">
        <f t="shared" si="0"/>
        <v>447300</v>
      </c>
      <c r="M15" s="283">
        <f t="shared" si="0"/>
        <v>-103869.39</v>
      </c>
      <c r="N15" s="283">
        <f t="shared" si="0"/>
        <v>343430.61</v>
      </c>
      <c r="O15" s="283">
        <f t="shared" si="0"/>
        <v>447300</v>
      </c>
      <c r="P15" s="283">
        <f t="shared" si="0"/>
        <v>447300</v>
      </c>
    </row>
    <row r="16" spans="1:16" ht="28.5" customHeight="1">
      <c r="A16" s="48" t="s">
        <v>92</v>
      </c>
      <c r="B16" s="48" t="s">
        <v>92</v>
      </c>
      <c r="C16" s="53">
        <v>63</v>
      </c>
      <c r="D16" s="53">
        <v>0</v>
      </c>
      <c r="E16" s="53">
        <v>11</v>
      </c>
      <c r="F16" s="201">
        <v>862</v>
      </c>
      <c r="G16" s="166" t="s">
        <v>44</v>
      </c>
      <c r="H16" s="166" t="s">
        <v>45</v>
      </c>
      <c r="I16" s="195" t="s">
        <v>320</v>
      </c>
      <c r="J16" s="250" t="s">
        <v>205</v>
      </c>
      <c r="K16" s="228" t="s">
        <v>24</v>
      </c>
      <c r="L16" s="283">
        <f>332000+99300+16000</f>
        <v>447300</v>
      </c>
      <c r="M16" s="283">
        <v>-103869.39</v>
      </c>
      <c r="N16" s="283">
        <f>L16+M16</f>
        <v>343430.61</v>
      </c>
      <c r="O16" s="283">
        <f>L16</f>
        <v>447300</v>
      </c>
      <c r="P16" s="283">
        <f>O16</f>
        <v>447300</v>
      </c>
    </row>
    <row r="17" spans="1:16" s="36" customFormat="1" ht="26.25" customHeight="1">
      <c r="A17" s="379" t="s">
        <v>48</v>
      </c>
      <c r="B17" s="380"/>
      <c r="C17" s="169">
        <v>63</v>
      </c>
      <c r="D17" s="169">
        <v>0</v>
      </c>
      <c r="E17" s="169">
        <v>11</v>
      </c>
      <c r="F17" s="205">
        <v>862</v>
      </c>
      <c r="G17" s="181" t="s">
        <v>44</v>
      </c>
      <c r="H17" s="181" t="s">
        <v>49</v>
      </c>
      <c r="I17" s="181"/>
      <c r="J17" s="183"/>
      <c r="K17" s="181"/>
      <c r="L17" s="282">
        <f>L21+L28+L31</f>
        <v>958694</v>
      </c>
      <c r="M17" s="282">
        <f>M21+M28+M31+M18</f>
        <v>127788.39</v>
      </c>
      <c r="N17" s="282">
        <f>N21+N28+N31+N18</f>
        <v>1086482.39</v>
      </c>
      <c r="O17" s="282">
        <f>O21+O28+O31</f>
        <v>905344</v>
      </c>
      <c r="P17" s="282">
        <f>P21+P28+P31</f>
        <v>866844</v>
      </c>
    </row>
    <row r="18" spans="1:16" s="36" customFormat="1" ht="50.25" customHeight="1">
      <c r="A18" s="160"/>
      <c r="B18" s="330" t="s">
        <v>435</v>
      </c>
      <c r="C18" s="169"/>
      <c r="D18" s="169"/>
      <c r="E18" s="169"/>
      <c r="F18" s="201">
        <v>862</v>
      </c>
      <c r="G18" s="166" t="s">
        <v>44</v>
      </c>
      <c r="H18" s="166" t="s">
        <v>49</v>
      </c>
      <c r="I18" s="166"/>
      <c r="J18" s="250" t="s">
        <v>434</v>
      </c>
      <c r="K18" s="166"/>
      <c r="L18" s="283"/>
      <c r="M18" s="283">
        <f>M19</f>
        <v>122788.39</v>
      </c>
      <c r="N18" s="283">
        <f>L18+M18</f>
        <v>122788.39</v>
      </c>
      <c r="O18" s="282"/>
      <c r="P18" s="282"/>
    </row>
    <row r="19" spans="1:16" s="36" customFormat="1" ht="26.25" customHeight="1">
      <c r="A19" s="160"/>
      <c r="B19" s="48" t="s">
        <v>89</v>
      </c>
      <c r="C19" s="169"/>
      <c r="D19" s="169"/>
      <c r="E19" s="169"/>
      <c r="F19" s="201">
        <v>862</v>
      </c>
      <c r="G19" s="166" t="s">
        <v>44</v>
      </c>
      <c r="H19" s="166" t="s">
        <v>49</v>
      </c>
      <c r="I19" s="166"/>
      <c r="J19" s="250" t="s">
        <v>434</v>
      </c>
      <c r="K19" s="166" t="s">
        <v>23</v>
      </c>
      <c r="L19" s="283"/>
      <c r="M19" s="283">
        <f>M20</f>
        <v>122788.39</v>
      </c>
      <c r="N19" s="283">
        <f>L19+M19</f>
        <v>122788.39</v>
      </c>
      <c r="O19" s="282"/>
      <c r="P19" s="282"/>
    </row>
    <row r="20" spans="1:16" s="36" customFormat="1" ht="26.25" customHeight="1">
      <c r="A20" s="160"/>
      <c r="B20" s="48" t="s">
        <v>92</v>
      </c>
      <c r="C20" s="169"/>
      <c r="D20" s="169"/>
      <c r="E20" s="169"/>
      <c r="F20" s="201">
        <v>862</v>
      </c>
      <c r="G20" s="166" t="s">
        <v>44</v>
      </c>
      <c r="H20" s="166" t="s">
        <v>49</v>
      </c>
      <c r="I20" s="166"/>
      <c r="J20" s="250" t="s">
        <v>434</v>
      </c>
      <c r="K20" s="166" t="s">
        <v>24</v>
      </c>
      <c r="L20" s="283"/>
      <c r="M20" s="283">
        <v>122788.39</v>
      </c>
      <c r="N20" s="283">
        <f>L20+M20</f>
        <v>122788.39</v>
      </c>
      <c r="O20" s="282"/>
      <c r="P20" s="282"/>
    </row>
    <row r="21" spans="1:16" ht="27.75" customHeight="1" hidden="1">
      <c r="A21" s="392" t="s">
        <v>93</v>
      </c>
      <c r="B21" s="393"/>
      <c r="C21" s="53">
        <v>63</v>
      </c>
      <c r="D21" s="53">
        <v>0</v>
      </c>
      <c r="E21" s="53">
        <v>11</v>
      </c>
      <c r="F21" s="201">
        <v>862</v>
      </c>
      <c r="G21" s="166" t="s">
        <v>44</v>
      </c>
      <c r="H21" s="166" t="s">
        <v>49</v>
      </c>
      <c r="I21" s="195" t="s">
        <v>223</v>
      </c>
      <c r="J21" s="250" t="s">
        <v>207</v>
      </c>
      <c r="K21" s="166"/>
      <c r="L21" s="283">
        <f>L22+L24+L26</f>
        <v>942694</v>
      </c>
      <c r="M21" s="283">
        <f>M22+M24+M26</f>
        <v>0</v>
      </c>
      <c r="N21" s="283">
        <f>N22+N24+N26</f>
        <v>942694</v>
      </c>
      <c r="O21" s="283">
        <f>O22+O24+O26</f>
        <v>893344</v>
      </c>
      <c r="P21" s="283">
        <f>P22+P24+P26</f>
        <v>854844</v>
      </c>
    </row>
    <row r="22" spans="1:16" ht="63" customHeight="1" hidden="1">
      <c r="A22" s="171"/>
      <c r="B22" s="48" t="s">
        <v>89</v>
      </c>
      <c r="C22" s="53">
        <v>63</v>
      </c>
      <c r="D22" s="53">
        <v>0</v>
      </c>
      <c r="E22" s="53">
        <v>11</v>
      </c>
      <c r="F22" s="201">
        <v>862</v>
      </c>
      <c r="G22" s="195" t="s">
        <v>44</v>
      </c>
      <c r="H22" s="195" t="s">
        <v>49</v>
      </c>
      <c r="I22" s="195" t="s">
        <v>223</v>
      </c>
      <c r="J22" s="250" t="s">
        <v>207</v>
      </c>
      <c r="K22" s="166" t="s">
        <v>23</v>
      </c>
      <c r="L22" s="283">
        <f>L23</f>
        <v>638995</v>
      </c>
      <c r="M22" s="283">
        <f>M23</f>
        <v>0</v>
      </c>
      <c r="N22" s="283">
        <f>N23</f>
        <v>638995</v>
      </c>
      <c r="O22" s="283">
        <f>O23</f>
        <v>638995</v>
      </c>
      <c r="P22" s="284">
        <f>P23</f>
        <v>638995</v>
      </c>
    </row>
    <row r="23" spans="1:16" ht="27" customHeight="1" hidden="1">
      <c r="A23" s="173"/>
      <c r="B23" s="48" t="s">
        <v>92</v>
      </c>
      <c r="C23" s="53">
        <v>63</v>
      </c>
      <c r="D23" s="53">
        <v>0</v>
      </c>
      <c r="E23" s="53">
        <v>11</v>
      </c>
      <c r="F23" s="201">
        <v>862</v>
      </c>
      <c r="G23" s="166" t="s">
        <v>44</v>
      </c>
      <c r="H23" s="166" t="s">
        <v>49</v>
      </c>
      <c r="I23" s="195" t="s">
        <v>223</v>
      </c>
      <c r="J23" s="250" t="s">
        <v>207</v>
      </c>
      <c r="K23" s="166" t="s">
        <v>24</v>
      </c>
      <c r="L23" s="283">
        <f>464200+136300+38495</f>
        <v>638995</v>
      </c>
      <c r="M23" s="283"/>
      <c r="N23" s="283">
        <f>L23+M23</f>
        <v>638995</v>
      </c>
      <c r="O23" s="283">
        <f>L23</f>
        <v>638995</v>
      </c>
      <c r="P23" s="283">
        <f>O23</f>
        <v>638995</v>
      </c>
    </row>
    <row r="24" spans="1:16" ht="27" customHeight="1" hidden="1">
      <c r="A24" s="173"/>
      <c r="B24" s="70" t="s">
        <v>197</v>
      </c>
      <c r="C24" s="53">
        <v>63</v>
      </c>
      <c r="D24" s="53">
        <v>0</v>
      </c>
      <c r="E24" s="53">
        <v>11</v>
      </c>
      <c r="F24" s="201">
        <v>862</v>
      </c>
      <c r="G24" s="230" t="s">
        <v>44</v>
      </c>
      <c r="H24" s="230" t="s">
        <v>49</v>
      </c>
      <c r="I24" s="195" t="s">
        <v>223</v>
      </c>
      <c r="J24" s="250" t="s">
        <v>207</v>
      </c>
      <c r="K24" s="230" t="s">
        <v>25</v>
      </c>
      <c r="L24" s="283">
        <f>L25</f>
        <v>277845</v>
      </c>
      <c r="M24" s="283">
        <f>M25</f>
        <v>0</v>
      </c>
      <c r="N24" s="283">
        <f>N25</f>
        <v>277845</v>
      </c>
      <c r="O24" s="283">
        <f>O25</f>
        <v>228495</v>
      </c>
      <c r="P24" s="283">
        <f>P25</f>
        <v>189995</v>
      </c>
    </row>
    <row r="25" spans="1:16" ht="27" customHeight="1" hidden="1">
      <c r="A25" s="173"/>
      <c r="B25" s="174" t="s">
        <v>94</v>
      </c>
      <c r="C25" s="53">
        <v>63</v>
      </c>
      <c r="D25" s="53">
        <v>0</v>
      </c>
      <c r="E25" s="53">
        <v>11</v>
      </c>
      <c r="F25" s="201">
        <v>862</v>
      </c>
      <c r="G25" s="230" t="s">
        <v>44</v>
      </c>
      <c r="H25" s="230" t="s">
        <v>49</v>
      </c>
      <c r="I25" s="195" t="s">
        <v>223</v>
      </c>
      <c r="J25" s="250" t="s">
        <v>207</v>
      </c>
      <c r="K25" s="230" t="s">
        <v>26</v>
      </c>
      <c r="L25" s="283">
        <f>16300+45000+59100+35900+75195+46350</f>
        <v>277845</v>
      </c>
      <c r="M25" s="283"/>
      <c r="N25" s="283">
        <f>L25+M25</f>
        <v>277845</v>
      </c>
      <c r="O25" s="283">
        <f>16300+45000+87100+31900+48195</f>
        <v>228495</v>
      </c>
      <c r="P25" s="283">
        <f>16300+45000+87100+30400+11195</f>
        <v>189995</v>
      </c>
    </row>
    <row r="26" spans="1:16" ht="15.75" customHeight="1" hidden="1">
      <c r="A26" s="173"/>
      <c r="B26" s="231" t="s">
        <v>27</v>
      </c>
      <c r="C26" s="53">
        <v>63</v>
      </c>
      <c r="D26" s="53">
        <v>0</v>
      </c>
      <c r="E26" s="53">
        <v>11</v>
      </c>
      <c r="F26" s="201">
        <v>862</v>
      </c>
      <c r="G26" s="166" t="s">
        <v>44</v>
      </c>
      <c r="H26" s="166" t="s">
        <v>49</v>
      </c>
      <c r="I26" s="195" t="s">
        <v>223</v>
      </c>
      <c r="J26" s="250" t="s">
        <v>207</v>
      </c>
      <c r="K26" s="166" t="s">
        <v>28</v>
      </c>
      <c r="L26" s="283">
        <f>L27</f>
        <v>25854</v>
      </c>
      <c r="M26" s="283">
        <f>M27</f>
        <v>0</v>
      </c>
      <c r="N26" s="283">
        <f>N27</f>
        <v>25854</v>
      </c>
      <c r="O26" s="283">
        <f>O27</f>
        <v>25854</v>
      </c>
      <c r="P26" s="283">
        <f>P27</f>
        <v>25854</v>
      </c>
    </row>
    <row r="27" spans="1:16" ht="15.75" customHeight="1" hidden="1">
      <c r="A27" s="173"/>
      <c r="B27" s="175" t="s">
        <v>195</v>
      </c>
      <c r="C27" s="53">
        <v>63</v>
      </c>
      <c r="D27" s="53">
        <v>0</v>
      </c>
      <c r="E27" s="53">
        <v>11</v>
      </c>
      <c r="F27" s="201">
        <v>862</v>
      </c>
      <c r="G27" s="166" t="s">
        <v>44</v>
      </c>
      <c r="H27" s="166" t="s">
        <v>49</v>
      </c>
      <c r="I27" s="195" t="s">
        <v>223</v>
      </c>
      <c r="J27" s="250" t="s">
        <v>207</v>
      </c>
      <c r="K27" s="166" t="s">
        <v>196</v>
      </c>
      <c r="L27" s="283">
        <f>23320+810+1724</f>
        <v>25854</v>
      </c>
      <c r="M27" s="283"/>
      <c r="N27" s="283">
        <f>L27+M27</f>
        <v>25854</v>
      </c>
      <c r="O27" s="283">
        <v>25854</v>
      </c>
      <c r="P27" s="283">
        <v>25854</v>
      </c>
    </row>
    <row r="28" spans="1:16" ht="27.75" customHeight="1">
      <c r="A28" s="173"/>
      <c r="B28" s="258" t="s">
        <v>341</v>
      </c>
      <c r="C28" s="53"/>
      <c r="D28" s="53"/>
      <c r="E28" s="53"/>
      <c r="F28" s="201">
        <v>862</v>
      </c>
      <c r="G28" s="166" t="s">
        <v>44</v>
      </c>
      <c r="H28" s="166" t="s">
        <v>49</v>
      </c>
      <c r="I28" s="195"/>
      <c r="J28" s="250" t="s">
        <v>342</v>
      </c>
      <c r="K28" s="166"/>
      <c r="L28" s="283">
        <f aca="true" t="shared" si="1" ref="L28:P29">L29</f>
        <v>11000</v>
      </c>
      <c r="M28" s="283">
        <f t="shared" si="1"/>
        <v>5000</v>
      </c>
      <c r="N28" s="283">
        <f t="shared" si="1"/>
        <v>16000</v>
      </c>
      <c r="O28" s="283">
        <f t="shared" si="1"/>
        <v>7000</v>
      </c>
      <c r="P28" s="283">
        <f t="shared" si="1"/>
        <v>7000</v>
      </c>
    </row>
    <row r="29" spans="1:16" ht="24" customHeight="1">
      <c r="A29" s="173"/>
      <c r="B29" s="70" t="s">
        <v>197</v>
      </c>
      <c r="C29" s="53"/>
      <c r="D29" s="53"/>
      <c r="E29" s="53"/>
      <c r="F29" s="201">
        <v>862</v>
      </c>
      <c r="G29" s="166" t="s">
        <v>44</v>
      </c>
      <c r="H29" s="166" t="s">
        <v>49</v>
      </c>
      <c r="I29" s="195"/>
      <c r="J29" s="250" t="s">
        <v>342</v>
      </c>
      <c r="K29" s="166" t="s">
        <v>25</v>
      </c>
      <c r="L29" s="283">
        <f t="shared" si="1"/>
        <v>11000</v>
      </c>
      <c r="M29" s="283">
        <f t="shared" si="1"/>
        <v>5000</v>
      </c>
      <c r="N29" s="283">
        <f t="shared" si="1"/>
        <v>16000</v>
      </c>
      <c r="O29" s="283">
        <f t="shared" si="1"/>
        <v>7000</v>
      </c>
      <c r="P29" s="283">
        <f t="shared" si="1"/>
        <v>7000</v>
      </c>
    </row>
    <row r="30" spans="1:16" ht="25.5" customHeight="1">
      <c r="A30" s="173"/>
      <c r="B30" s="174" t="s">
        <v>94</v>
      </c>
      <c r="C30" s="53"/>
      <c r="D30" s="53"/>
      <c r="E30" s="53"/>
      <c r="F30" s="201">
        <v>862</v>
      </c>
      <c r="G30" s="166" t="s">
        <v>44</v>
      </c>
      <c r="H30" s="166" t="s">
        <v>49</v>
      </c>
      <c r="I30" s="195"/>
      <c r="J30" s="250" t="s">
        <v>342</v>
      </c>
      <c r="K30" s="166" t="s">
        <v>26</v>
      </c>
      <c r="L30" s="283">
        <f>7000+4000</f>
        <v>11000</v>
      </c>
      <c r="M30" s="283">
        <v>5000</v>
      </c>
      <c r="N30" s="283">
        <f>L30+M30</f>
        <v>16000</v>
      </c>
      <c r="O30" s="283">
        <v>7000</v>
      </c>
      <c r="P30" s="283">
        <v>7000</v>
      </c>
    </row>
    <row r="31" spans="1:16" ht="15.75" customHeight="1">
      <c r="A31" s="173"/>
      <c r="B31" s="231" t="s">
        <v>295</v>
      </c>
      <c r="C31" s="53">
        <v>63</v>
      </c>
      <c r="D31" s="53">
        <v>0</v>
      </c>
      <c r="E31" s="53">
        <v>11</v>
      </c>
      <c r="F31" s="201">
        <v>862</v>
      </c>
      <c r="G31" s="166" t="s">
        <v>44</v>
      </c>
      <c r="H31" s="166" t="s">
        <v>49</v>
      </c>
      <c r="I31" s="195" t="s">
        <v>223</v>
      </c>
      <c r="J31" s="250" t="s">
        <v>321</v>
      </c>
      <c r="K31" s="166"/>
      <c r="L31" s="283">
        <f aca="true" t="shared" si="2" ref="L31:P32">L32</f>
        <v>5000</v>
      </c>
      <c r="M31" s="283">
        <f t="shared" si="2"/>
        <v>0</v>
      </c>
      <c r="N31" s="283">
        <f t="shared" si="2"/>
        <v>5000</v>
      </c>
      <c r="O31" s="283">
        <f t="shared" si="2"/>
        <v>5000</v>
      </c>
      <c r="P31" s="283">
        <f t="shared" si="2"/>
        <v>5000</v>
      </c>
    </row>
    <row r="32" spans="1:16" ht="15.75" customHeight="1">
      <c r="A32" s="173"/>
      <c r="B32" s="231" t="s">
        <v>27</v>
      </c>
      <c r="C32" s="53">
        <v>63</v>
      </c>
      <c r="D32" s="53">
        <v>0</v>
      </c>
      <c r="E32" s="53">
        <v>11</v>
      </c>
      <c r="F32" s="201">
        <v>862</v>
      </c>
      <c r="G32" s="166" t="s">
        <v>44</v>
      </c>
      <c r="H32" s="166" t="s">
        <v>49</v>
      </c>
      <c r="I32" s="195" t="s">
        <v>223</v>
      </c>
      <c r="J32" s="250" t="s">
        <v>321</v>
      </c>
      <c r="K32" s="166" t="s">
        <v>28</v>
      </c>
      <c r="L32" s="283">
        <f t="shared" si="2"/>
        <v>5000</v>
      </c>
      <c r="M32" s="283">
        <f t="shared" si="2"/>
        <v>0</v>
      </c>
      <c r="N32" s="283">
        <f t="shared" si="2"/>
        <v>5000</v>
      </c>
      <c r="O32" s="283">
        <f t="shared" si="2"/>
        <v>5000</v>
      </c>
      <c r="P32" s="283">
        <f t="shared" si="2"/>
        <v>5000</v>
      </c>
    </row>
    <row r="33" spans="1:16" ht="15.75" customHeight="1">
      <c r="A33" s="173"/>
      <c r="B33" s="175" t="s">
        <v>195</v>
      </c>
      <c r="C33" s="53">
        <v>63</v>
      </c>
      <c r="D33" s="53">
        <v>0</v>
      </c>
      <c r="E33" s="53">
        <v>11</v>
      </c>
      <c r="F33" s="201">
        <v>862</v>
      </c>
      <c r="G33" s="166" t="s">
        <v>44</v>
      </c>
      <c r="H33" s="166" t="s">
        <v>49</v>
      </c>
      <c r="I33" s="195" t="s">
        <v>223</v>
      </c>
      <c r="J33" s="250" t="s">
        <v>321</v>
      </c>
      <c r="K33" s="166" t="s">
        <v>196</v>
      </c>
      <c r="L33" s="283">
        <v>5000</v>
      </c>
      <c r="M33" s="283"/>
      <c r="N33" s="283">
        <f>L33+M33</f>
        <v>5000</v>
      </c>
      <c r="O33" s="283">
        <v>5000</v>
      </c>
      <c r="P33" s="283">
        <v>5000</v>
      </c>
    </row>
    <row r="34" spans="1:16" s="36" customFormat="1" ht="36.75" customHeight="1">
      <c r="A34" s="232" t="s">
        <v>95</v>
      </c>
      <c r="B34" s="232" t="s">
        <v>95</v>
      </c>
      <c r="C34" s="169">
        <v>63</v>
      </c>
      <c r="D34" s="169">
        <v>0</v>
      </c>
      <c r="E34" s="169">
        <v>11</v>
      </c>
      <c r="F34" s="205">
        <v>862</v>
      </c>
      <c r="G34" s="181" t="s">
        <v>44</v>
      </c>
      <c r="H34" s="181" t="s">
        <v>29</v>
      </c>
      <c r="I34" s="181"/>
      <c r="J34" s="183"/>
      <c r="K34" s="181"/>
      <c r="L34" s="282">
        <f>L35+L38</f>
        <v>3300</v>
      </c>
      <c r="M34" s="282">
        <f>M35+M38</f>
        <v>0</v>
      </c>
      <c r="N34" s="282">
        <f>N35+N38</f>
        <v>3300</v>
      </c>
      <c r="O34" s="282">
        <f>O35+O38</f>
        <v>3300</v>
      </c>
      <c r="P34" s="282">
        <f>P35+P38</f>
        <v>3300</v>
      </c>
    </row>
    <row r="35" spans="1:16" s="36" customFormat="1" ht="66" customHeight="1">
      <c r="A35" s="56" t="s">
        <v>96</v>
      </c>
      <c r="B35" s="176" t="s">
        <v>210</v>
      </c>
      <c r="C35" s="53">
        <v>63</v>
      </c>
      <c r="D35" s="53">
        <v>0</v>
      </c>
      <c r="E35" s="53">
        <v>11</v>
      </c>
      <c r="F35" s="201">
        <v>862</v>
      </c>
      <c r="G35" s="166" t="s">
        <v>44</v>
      </c>
      <c r="H35" s="166" t="s">
        <v>29</v>
      </c>
      <c r="I35" s="195" t="s">
        <v>224</v>
      </c>
      <c r="J35" s="250" t="s">
        <v>208</v>
      </c>
      <c r="K35" s="166"/>
      <c r="L35" s="283">
        <f aca="true" t="shared" si="3" ref="L35:P36">L36</f>
        <v>3000</v>
      </c>
      <c r="M35" s="283">
        <f t="shared" si="3"/>
        <v>0</v>
      </c>
      <c r="N35" s="283">
        <f t="shared" si="3"/>
        <v>3000</v>
      </c>
      <c r="O35" s="283">
        <f t="shared" si="3"/>
        <v>3000</v>
      </c>
      <c r="P35" s="283">
        <f t="shared" si="3"/>
        <v>3000</v>
      </c>
    </row>
    <row r="36" spans="1:16" ht="14.25" customHeight="1">
      <c r="A36" s="173"/>
      <c r="B36" s="177" t="s">
        <v>59</v>
      </c>
      <c r="C36" s="53">
        <v>63</v>
      </c>
      <c r="D36" s="53">
        <v>0</v>
      </c>
      <c r="E36" s="53">
        <v>11</v>
      </c>
      <c r="F36" s="201">
        <v>862</v>
      </c>
      <c r="G36" s="166" t="s">
        <v>44</v>
      </c>
      <c r="H36" s="210" t="s">
        <v>29</v>
      </c>
      <c r="I36" s="195" t="s">
        <v>224</v>
      </c>
      <c r="J36" s="250" t="s">
        <v>208</v>
      </c>
      <c r="K36" s="166" t="s">
        <v>46</v>
      </c>
      <c r="L36" s="283">
        <f t="shared" si="3"/>
        <v>3000</v>
      </c>
      <c r="M36" s="283">
        <f t="shared" si="3"/>
        <v>0</v>
      </c>
      <c r="N36" s="283">
        <f t="shared" si="3"/>
        <v>3000</v>
      </c>
      <c r="O36" s="283">
        <f t="shared" si="3"/>
        <v>3000</v>
      </c>
      <c r="P36" s="283">
        <f t="shared" si="3"/>
        <v>3000</v>
      </c>
    </row>
    <row r="37" spans="1:16" ht="16.5" customHeight="1">
      <c r="A37" s="173"/>
      <c r="B37" s="178" t="s">
        <v>69</v>
      </c>
      <c r="C37" s="53">
        <v>63</v>
      </c>
      <c r="D37" s="53">
        <v>0</v>
      </c>
      <c r="E37" s="53">
        <v>11</v>
      </c>
      <c r="F37" s="201">
        <v>862</v>
      </c>
      <c r="G37" s="166" t="s">
        <v>44</v>
      </c>
      <c r="H37" s="210" t="s">
        <v>29</v>
      </c>
      <c r="I37" s="195" t="s">
        <v>224</v>
      </c>
      <c r="J37" s="250" t="s">
        <v>208</v>
      </c>
      <c r="K37" s="230" t="s">
        <v>32</v>
      </c>
      <c r="L37" s="283">
        <v>3000</v>
      </c>
      <c r="M37" s="283"/>
      <c r="N37" s="283">
        <f>L37+M37</f>
        <v>3000</v>
      </c>
      <c r="O37" s="283">
        <v>3000</v>
      </c>
      <c r="P37" s="283">
        <v>3000</v>
      </c>
    </row>
    <row r="38" spans="1:16" s="36" customFormat="1" ht="60.75" customHeight="1">
      <c r="A38" s="232"/>
      <c r="B38" s="259" t="s">
        <v>344</v>
      </c>
      <c r="C38" s="169"/>
      <c r="D38" s="169"/>
      <c r="E38" s="169"/>
      <c r="F38" s="201">
        <v>862</v>
      </c>
      <c r="G38" s="166" t="s">
        <v>44</v>
      </c>
      <c r="H38" s="166" t="s">
        <v>29</v>
      </c>
      <c r="I38" s="166"/>
      <c r="J38" s="268" t="s">
        <v>343</v>
      </c>
      <c r="K38" s="181"/>
      <c r="L38" s="283">
        <f aca="true" t="shared" si="4" ref="L38:P39">L39</f>
        <v>300</v>
      </c>
      <c r="M38" s="283">
        <f t="shared" si="4"/>
        <v>0</v>
      </c>
      <c r="N38" s="283">
        <f t="shared" si="4"/>
        <v>300</v>
      </c>
      <c r="O38" s="283">
        <f t="shared" si="4"/>
        <v>300</v>
      </c>
      <c r="P38" s="283">
        <f t="shared" si="4"/>
        <v>300</v>
      </c>
    </row>
    <row r="39" spans="1:16" s="36" customFormat="1" ht="18" customHeight="1">
      <c r="A39" s="232"/>
      <c r="B39" s="177" t="s">
        <v>59</v>
      </c>
      <c r="C39" s="169"/>
      <c r="D39" s="169"/>
      <c r="E39" s="169"/>
      <c r="F39" s="201">
        <v>862</v>
      </c>
      <c r="G39" s="166" t="s">
        <v>44</v>
      </c>
      <c r="H39" s="166" t="s">
        <v>29</v>
      </c>
      <c r="I39" s="166"/>
      <c r="J39" s="268" t="s">
        <v>343</v>
      </c>
      <c r="K39" s="166" t="s">
        <v>46</v>
      </c>
      <c r="L39" s="283">
        <f t="shared" si="4"/>
        <v>300</v>
      </c>
      <c r="M39" s="283">
        <f t="shared" si="4"/>
        <v>0</v>
      </c>
      <c r="N39" s="283">
        <f t="shared" si="4"/>
        <v>300</v>
      </c>
      <c r="O39" s="283">
        <f t="shared" si="4"/>
        <v>300</v>
      </c>
      <c r="P39" s="283">
        <f t="shared" si="4"/>
        <v>300</v>
      </c>
    </row>
    <row r="40" spans="1:17" s="36" customFormat="1" ht="16.5" customHeight="1">
      <c r="A40" s="232"/>
      <c r="B40" s="178" t="s">
        <v>69</v>
      </c>
      <c r="C40" s="169"/>
      <c r="D40" s="169"/>
      <c r="E40" s="169"/>
      <c r="F40" s="201">
        <v>862</v>
      </c>
      <c r="G40" s="166" t="s">
        <v>44</v>
      </c>
      <c r="H40" s="166" t="s">
        <v>29</v>
      </c>
      <c r="I40" s="166"/>
      <c r="J40" s="268" t="s">
        <v>343</v>
      </c>
      <c r="K40" s="166" t="s">
        <v>32</v>
      </c>
      <c r="L40" s="283">
        <v>300</v>
      </c>
      <c r="M40" s="283"/>
      <c r="N40" s="283">
        <f>L40+M40</f>
        <v>300</v>
      </c>
      <c r="O40" s="283">
        <v>300</v>
      </c>
      <c r="P40" s="283">
        <v>300</v>
      </c>
      <c r="Q40" s="32"/>
    </row>
    <row r="41" spans="1:17" s="36" customFormat="1" ht="30" customHeight="1">
      <c r="A41" s="260"/>
      <c r="B41" s="261" t="s">
        <v>345</v>
      </c>
      <c r="C41" s="169"/>
      <c r="D41" s="169"/>
      <c r="E41" s="169"/>
      <c r="F41" s="205">
        <v>862</v>
      </c>
      <c r="G41" s="181" t="s">
        <v>44</v>
      </c>
      <c r="H41" s="181" t="s">
        <v>346</v>
      </c>
      <c r="I41" s="181"/>
      <c r="J41" s="313"/>
      <c r="K41" s="181"/>
      <c r="L41" s="282">
        <f aca="true" t="shared" si="5" ref="L41:P43">L42</f>
        <v>6600</v>
      </c>
      <c r="M41" s="282">
        <f t="shared" si="5"/>
        <v>0</v>
      </c>
      <c r="N41" s="282">
        <f t="shared" si="5"/>
        <v>6600</v>
      </c>
      <c r="O41" s="282">
        <f t="shared" si="5"/>
        <v>0</v>
      </c>
      <c r="P41" s="282">
        <f t="shared" si="5"/>
        <v>0</v>
      </c>
      <c r="Q41" s="32"/>
    </row>
    <row r="42" spans="1:17" s="36" customFormat="1" ht="29.25" customHeight="1">
      <c r="A42" s="260"/>
      <c r="B42" s="259" t="s">
        <v>347</v>
      </c>
      <c r="C42" s="169"/>
      <c r="D42" s="169"/>
      <c r="E42" s="169"/>
      <c r="F42" s="201">
        <v>862</v>
      </c>
      <c r="G42" s="166" t="s">
        <v>44</v>
      </c>
      <c r="H42" s="166" t="s">
        <v>346</v>
      </c>
      <c r="I42" s="166"/>
      <c r="J42" s="268" t="s">
        <v>349</v>
      </c>
      <c r="K42" s="166"/>
      <c r="L42" s="283">
        <f t="shared" si="5"/>
        <v>6600</v>
      </c>
      <c r="M42" s="283">
        <f t="shared" si="5"/>
        <v>0</v>
      </c>
      <c r="N42" s="283">
        <f t="shared" si="5"/>
        <v>6600</v>
      </c>
      <c r="O42" s="283">
        <f t="shared" si="5"/>
        <v>0</v>
      </c>
      <c r="P42" s="283">
        <f t="shared" si="5"/>
        <v>0</v>
      </c>
      <c r="Q42" s="32"/>
    </row>
    <row r="43" spans="1:17" s="36" customFormat="1" ht="18.75" customHeight="1">
      <c r="A43" s="260"/>
      <c r="B43" s="259" t="s">
        <v>27</v>
      </c>
      <c r="C43" s="169"/>
      <c r="D43" s="169"/>
      <c r="E43" s="169"/>
      <c r="F43" s="201">
        <v>862</v>
      </c>
      <c r="G43" s="166" t="s">
        <v>44</v>
      </c>
      <c r="H43" s="166" t="s">
        <v>346</v>
      </c>
      <c r="I43" s="166"/>
      <c r="J43" s="268" t="s">
        <v>349</v>
      </c>
      <c r="K43" s="166" t="s">
        <v>28</v>
      </c>
      <c r="L43" s="283">
        <f t="shared" si="5"/>
        <v>6600</v>
      </c>
      <c r="M43" s="283">
        <f t="shared" si="5"/>
        <v>0</v>
      </c>
      <c r="N43" s="283">
        <f t="shared" si="5"/>
        <v>6600</v>
      </c>
      <c r="O43" s="283">
        <f t="shared" si="5"/>
        <v>0</v>
      </c>
      <c r="P43" s="283">
        <f t="shared" si="5"/>
        <v>0</v>
      </c>
      <c r="Q43" s="32"/>
    </row>
    <row r="44" spans="1:17" s="36" customFormat="1" ht="12.75" customHeight="1">
      <c r="A44" s="260"/>
      <c r="B44" s="259" t="s">
        <v>348</v>
      </c>
      <c r="C44" s="169"/>
      <c r="D44" s="169"/>
      <c r="E44" s="169"/>
      <c r="F44" s="201">
        <v>862</v>
      </c>
      <c r="G44" s="166" t="s">
        <v>44</v>
      </c>
      <c r="H44" s="166" t="s">
        <v>346</v>
      </c>
      <c r="I44" s="166"/>
      <c r="J44" s="268" t="s">
        <v>349</v>
      </c>
      <c r="K44" s="166" t="s">
        <v>350</v>
      </c>
      <c r="L44" s="283">
        <f>5600+1000</f>
        <v>6600</v>
      </c>
      <c r="M44" s="283"/>
      <c r="N44" s="283">
        <f>L44+M44</f>
        <v>6600</v>
      </c>
      <c r="O44" s="283">
        <v>0</v>
      </c>
      <c r="P44" s="283">
        <v>0</v>
      </c>
      <c r="Q44" s="32"/>
    </row>
    <row r="45" spans="1:16" s="36" customFormat="1" ht="15.75" customHeight="1">
      <c r="A45" s="379" t="s">
        <v>51</v>
      </c>
      <c r="B45" s="380"/>
      <c r="C45" s="169">
        <v>70</v>
      </c>
      <c r="D45" s="169">
        <v>0</v>
      </c>
      <c r="E45" s="185" t="s">
        <v>315</v>
      </c>
      <c r="F45" s="190">
        <v>862</v>
      </c>
      <c r="G45" s="181" t="s">
        <v>44</v>
      </c>
      <c r="H45" s="181" t="s">
        <v>60</v>
      </c>
      <c r="I45" s="181"/>
      <c r="J45" s="183"/>
      <c r="K45" s="181"/>
      <c r="L45" s="282">
        <f aca="true" t="shared" si="6" ref="L45:P47">L46</f>
        <v>0</v>
      </c>
      <c r="M45" s="282">
        <f t="shared" si="6"/>
        <v>0</v>
      </c>
      <c r="N45" s="282">
        <f t="shared" si="6"/>
        <v>0</v>
      </c>
      <c r="O45" s="282">
        <f t="shared" si="6"/>
        <v>0</v>
      </c>
      <c r="P45" s="282">
        <f t="shared" si="6"/>
        <v>0</v>
      </c>
    </row>
    <row r="46" spans="1:16" ht="15.75" customHeight="1">
      <c r="A46" s="373" t="s">
        <v>70</v>
      </c>
      <c r="B46" s="374"/>
      <c r="C46" s="53">
        <v>70</v>
      </c>
      <c r="D46" s="53">
        <v>0</v>
      </c>
      <c r="E46" s="210" t="s">
        <v>315</v>
      </c>
      <c r="F46" s="201">
        <v>862</v>
      </c>
      <c r="G46" s="166" t="s">
        <v>44</v>
      </c>
      <c r="H46" s="166" t="s">
        <v>60</v>
      </c>
      <c r="I46" s="195" t="s">
        <v>316</v>
      </c>
      <c r="J46" s="250" t="s">
        <v>317</v>
      </c>
      <c r="K46" s="166"/>
      <c r="L46" s="283">
        <f t="shared" si="6"/>
        <v>0</v>
      </c>
      <c r="M46" s="283">
        <f t="shared" si="6"/>
        <v>0</v>
      </c>
      <c r="N46" s="283">
        <f t="shared" si="6"/>
        <v>0</v>
      </c>
      <c r="O46" s="283">
        <f t="shared" si="6"/>
        <v>0</v>
      </c>
      <c r="P46" s="283">
        <f t="shared" si="6"/>
        <v>0</v>
      </c>
    </row>
    <row r="47" spans="1:16" ht="12.75" customHeight="1">
      <c r="A47" s="173"/>
      <c r="B47" s="204" t="s">
        <v>27</v>
      </c>
      <c r="C47" s="53">
        <v>70</v>
      </c>
      <c r="D47" s="53">
        <v>0</v>
      </c>
      <c r="E47" s="210" t="s">
        <v>315</v>
      </c>
      <c r="F47" s="201">
        <v>862</v>
      </c>
      <c r="G47" s="166" t="s">
        <v>44</v>
      </c>
      <c r="H47" s="166" t="s">
        <v>60</v>
      </c>
      <c r="I47" s="195" t="s">
        <v>316</v>
      </c>
      <c r="J47" s="250" t="s">
        <v>317</v>
      </c>
      <c r="K47" s="166" t="s">
        <v>28</v>
      </c>
      <c r="L47" s="283">
        <f t="shared" si="6"/>
        <v>0</v>
      </c>
      <c r="M47" s="283">
        <f t="shared" si="6"/>
        <v>0</v>
      </c>
      <c r="N47" s="283">
        <f t="shared" si="6"/>
        <v>0</v>
      </c>
      <c r="O47" s="283">
        <f t="shared" si="6"/>
        <v>0</v>
      </c>
      <c r="P47" s="283">
        <f t="shared" si="6"/>
        <v>0</v>
      </c>
    </row>
    <row r="48" spans="1:16" ht="15.75" customHeight="1">
      <c r="A48" s="173"/>
      <c r="B48" s="177" t="s">
        <v>30</v>
      </c>
      <c r="C48" s="53">
        <v>70</v>
      </c>
      <c r="D48" s="53">
        <v>0</v>
      </c>
      <c r="E48" s="210" t="s">
        <v>315</v>
      </c>
      <c r="F48" s="201">
        <v>862</v>
      </c>
      <c r="G48" s="166" t="s">
        <v>44</v>
      </c>
      <c r="H48" s="166" t="s">
        <v>60</v>
      </c>
      <c r="I48" s="195" t="s">
        <v>316</v>
      </c>
      <c r="J48" s="250" t="s">
        <v>317</v>
      </c>
      <c r="K48" s="166" t="s">
        <v>31</v>
      </c>
      <c r="L48" s="283"/>
      <c r="M48" s="283"/>
      <c r="N48" s="283"/>
      <c r="O48" s="283"/>
      <c r="P48" s="283"/>
    </row>
    <row r="49" spans="1:16" s="36" customFormat="1" ht="15.75" customHeight="1">
      <c r="A49" s="379" t="s">
        <v>52</v>
      </c>
      <c r="B49" s="380"/>
      <c r="C49" s="169">
        <v>63</v>
      </c>
      <c r="D49" s="169">
        <v>0</v>
      </c>
      <c r="E49" s="169">
        <v>11</v>
      </c>
      <c r="F49" s="190">
        <v>862</v>
      </c>
      <c r="G49" s="181" t="s">
        <v>44</v>
      </c>
      <c r="H49" s="181" t="s">
        <v>61</v>
      </c>
      <c r="I49" s="181"/>
      <c r="J49" s="183"/>
      <c r="K49" s="181"/>
      <c r="L49" s="282">
        <f>L53+L50</f>
        <v>78500</v>
      </c>
      <c r="M49" s="282">
        <f>M53+M50</f>
        <v>26000</v>
      </c>
      <c r="N49" s="282">
        <f>N53+N50</f>
        <v>104500</v>
      </c>
      <c r="O49" s="282">
        <f>O53</f>
        <v>500</v>
      </c>
      <c r="P49" s="282">
        <f>P53</f>
        <v>500</v>
      </c>
    </row>
    <row r="50" spans="1:16" s="36" customFormat="1" ht="36" customHeight="1">
      <c r="A50" s="160"/>
      <c r="B50" s="310" t="s">
        <v>402</v>
      </c>
      <c r="C50" s="53"/>
      <c r="D50" s="53"/>
      <c r="E50" s="53"/>
      <c r="F50" s="194">
        <v>862</v>
      </c>
      <c r="G50" s="166" t="s">
        <v>44</v>
      </c>
      <c r="H50" s="166" t="s">
        <v>61</v>
      </c>
      <c r="I50" s="166"/>
      <c r="J50" s="250" t="s">
        <v>403</v>
      </c>
      <c r="K50" s="166"/>
      <c r="L50" s="283">
        <f aca="true" t="shared" si="7" ref="L50:N51">L51</f>
        <v>78000</v>
      </c>
      <c r="M50" s="283">
        <f>M51</f>
        <v>26000</v>
      </c>
      <c r="N50" s="283">
        <f t="shared" si="7"/>
        <v>104000</v>
      </c>
      <c r="O50" s="282"/>
      <c r="P50" s="282"/>
    </row>
    <row r="51" spans="1:16" s="36" customFormat="1" ht="25.5" customHeight="1">
      <c r="A51" s="160"/>
      <c r="B51" s="70" t="s">
        <v>197</v>
      </c>
      <c r="C51" s="53"/>
      <c r="D51" s="53"/>
      <c r="E51" s="53"/>
      <c r="F51" s="194">
        <v>862</v>
      </c>
      <c r="G51" s="166" t="s">
        <v>44</v>
      </c>
      <c r="H51" s="166" t="s">
        <v>61</v>
      </c>
      <c r="I51" s="166"/>
      <c r="J51" s="250" t="s">
        <v>403</v>
      </c>
      <c r="K51" s="166" t="s">
        <v>25</v>
      </c>
      <c r="L51" s="283">
        <f t="shared" si="7"/>
        <v>78000</v>
      </c>
      <c r="M51" s="283">
        <f>M52</f>
        <v>26000</v>
      </c>
      <c r="N51" s="283">
        <f>N52</f>
        <v>104000</v>
      </c>
      <c r="O51" s="282"/>
      <c r="P51" s="282"/>
    </row>
    <row r="52" spans="1:16" s="36" customFormat="1" ht="36.75" customHeight="1">
      <c r="A52" s="160"/>
      <c r="B52" s="174" t="s">
        <v>94</v>
      </c>
      <c r="C52" s="53"/>
      <c r="D52" s="53"/>
      <c r="E52" s="53"/>
      <c r="F52" s="194">
        <v>862</v>
      </c>
      <c r="G52" s="166" t="s">
        <v>44</v>
      </c>
      <c r="H52" s="166" t="s">
        <v>61</v>
      </c>
      <c r="I52" s="166"/>
      <c r="J52" s="250" t="s">
        <v>403</v>
      </c>
      <c r="K52" s="166" t="s">
        <v>26</v>
      </c>
      <c r="L52" s="283">
        <f>25000+53000</f>
        <v>78000</v>
      </c>
      <c r="M52" s="283">
        <v>26000</v>
      </c>
      <c r="N52" s="283">
        <f>L52+M52</f>
        <v>104000</v>
      </c>
      <c r="O52" s="282"/>
      <c r="P52" s="282"/>
    </row>
    <row r="53" spans="1:16" ht="48" customHeight="1" hidden="1">
      <c r="A53" s="373" t="s">
        <v>211</v>
      </c>
      <c r="B53" s="374"/>
      <c r="C53" s="53">
        <v>63</v>
      </c>
      <c r="D53" s="53">
        <v>0</v>
      </c>
      <c r="E53" s="53">
        <v>11</v>
      </c>
      <c r="F53" s="201">
        <v>862</v>
      </c>
      <c r="G53" s="210" t="s">
        <v>44</v>
      </c>
      <c r="H53" s="210" t="s">
        <v>61</v>
      </c>
      <c r="I53" s="195" t="s">
        <v>225</v>
      </c>
      <c r="J53" s="250" t="s">
        <v>209</v>
      </c>
      <c r="K53" s="210"/>
      <c r="L53" s="283">
        <f aca="true" t="shared" si="8" ref="L53:P54">L54</f>
        <v>500</v>
      </c>
      <c r="M53" s="283">
        <f t="shared" si="8"/>
        <v>0</v>
      </c>
      <c r="N53" s="283">
        <f t="shared" si="8"/>
        <v>500</v>
      </c>
      <c r="O53" s="283">
        <f t="shared" si="8"/>
        <v>500</v>
      </c>
      <c r="P53" s="283">
        <f t="shared" si="8"/>
        <v>500</v>
      </c>
    </row>
    <row r="54" spans="1:16" ht="16.5" customHeight="1" hidden="1">
      <c r="A54" s="173"/>
      <c r="B54" s="177" t="s">
        <v>59</v>
      </c>
      <c r="C54" s="53">
        <v>63</v>
      </c>
      <c r="D54" s="53">
        <v>0</v>
      </c>
      <c r="E54" s="53">
        <v>11</v>
      </c>
      <c r="F54" s="201">
        <v>862</v>
      </c>
      <c r="G54" s="166" t="s">
        <v>44</v>
      </c>
      <c r="H54" s="210" t="s">
        <v>61</v>
      </c>
      <c r="I54" s="195" t="s">
        <v>225</v>
      </c>
      <c r="J54" s="250" t="s">
        <v>209</v>
      </c>
      <c r="K54" s="166" t="s">
        <v>46</v>
      </c>
      <c r="L54" s="283">
        <f t="shared" si="8"/>
        <v>500</v>
      </c>
      <c r="M54" s="283">
        <f t="shared" si="8"/>
        <v>0</v>
      </c>
      <c r="N54" s="283">
        <f t="shared" si="8"/>
        <v>500</v>
      </c>
      <c r="O54" s="283">
        <f t="shared" si="8"/>
        <v>500</v>
      </c>
      <c r="P54" s="283">
        <f t="shared" si="8"/>
        <v>500</v>
      </c>
    </row>
    <row r="55" spans="1:16" ht="15.75" customHeight="1" hidden="1">
      <c r="A55" s="173"/>
      <c r="B55" s="178" t="s">
        <v>69</v>
      </c>
      <c r="C55" s="53">
        <v>63</v>
      </c>
      <c r="D55" s="53">
        <v>0</v>
      </c>
      <c r="E55" s="53">
        <v>11</v>
      </c>
      <c r="F55" s="201">
        <v>862</v>
      </c>
      <c r="G55" s="166" t="s">
        <v>44</v>
      </c>
      <c r="H55" s="210" t="s">
        <v>61</v>
      </c>
      <c r="I55" s="195" t="s">
        <v>225</v>
      </c>
      <c r="J55" s="250" t="s">
        <v>209</v>
      </c>
      <c r="K55" s="230" t="s">
        <v>32</v>
      </c>
      <c r="L55" s="283">
        <v>500</v>
      </c>
      <c r="M55" s="283"/>
      <c r="N55" s="283">
        <f>L55+M55</f>
        <v>500</v>
      </c>
      <c r="O55" s="283">
        <v>500</v>
      </c>
      <c r="P55" s="283">
        <v>500</v>
      </c>
    </row>
    <row r="56" spans="1:16" s="35" customFormat="1" ht="14.25" customHeight="1">
      <c r="A56" s="233" t="s">
        <v>62</v>
      </c>
      <c r="B56" s="233" t="s">
        <v>62</v>
      </c>
      <c r="C56" s="169">
        <v>63</v>
      </c>
      <c r="D56" s="169">
        <v>0</v>
      </c>
      <c r="E56" s="169">
        <v>12</v>
      </c>
      <c r="F56" s="226">
        <v>862</v>
      </c>
      <c r="G56" s="181" t="s">
        <v>45</v>
      </c>
      <c r="H56" s="181"/>
      <c r="I56" s="181"/>
      <c r="J56" s="183"/>
      <c r="K56" s="181"/>
      <c r="L56" s="282">
        <f aca="true" t="shared" si="9" ref="L56:P57">L57</f>
        <v>79305</v>
      </c>
      <c r="M56" s="282">
        <f t="shared" si="9"/>
        <v>0</v>
      </c>
      <c r="N56" s="282">
        <f t="shared" si="9"/>
        <v>79305</v>
      </c>
      <c r="O56" s="282">
        <f t="shared" si="9"/>
        <v>79305</v>
      </c>
      <c r="P56" s="282">
        <f t="shared" si="9"/>
        <v>79305</v>
      </c>
    </row>
    <row r="57" spans="1:16" s="38" customFormat="1" ht="14.25" customHeight="1">
      <c r="A57" s="233" t="s">
        <v>63</v>
      </c>
      <c r="B57" s="233" t="s">
        <v>63</v>
      </c>
      <c r="C57" s="169">
        <v>63</v>
      </c>
      <c r="D57" s="169">
        <v>0</v>
      </c>
      <c r="E57" s="169">
        <v>12</v>
      </c>
      <c r="F57" s="226">
        <v>862</v>
      </c>
      <c r="G57" s="181" t="s">
        <v>45</v>
      </c>
      <c r="H57" s="181" t="s">
        <v>47</v>
      </c>
      <c r="I57" s="181"/>
      <c r="J57" s="183"/>
      <c r="K57" s="181"/>
      <c r="L57" s="282">
        <f t="shared" si="9"/>
        <v>79305</v>
      </c>
      <c r="M57" s="282">
        <f t="shared" si="9"/>
        <v>0</v>
      </c>
      <c r="N57" s="282">
        <f t="shared" si="9"/>
        <v>79305</v>
      </c>
      <c r="O57" s="282">
        <f t="shared" si="9"/>
        <v>79305</v>
      </c>
      <c r="P57" s="282">
        <f t="shared" si="9"/>
        <v>79305</v>
      </c>
    </row>
    <row r="58" spans="1:16" s="37" customFormat="1" ht="27.75" customHeight="1">
      <c r="A58" s="231" t="s">
        <v>97</v>
      </c>
      <c r="B58" s="244" t="s">
        <v>324</v>
      </c>
      <c r="C58" s="53">
        <v>63</v>
      </c>
      <c r="D58" s="53">
        <v>0</v>
      </c>
      <c r="E58" s="53">
        <v>12</v>
      </c>
      <c r="F58" s="201">
        <v>862</v>
      </c>
      <c r="G58" s="166" t="s">
        <v>45</v>
      </c>
      <c r="H58" s="166" t="s">
        <v>47</v>
      </c>
      <c r="I58" s="166" t="s">
        <v>226</v>
      </c>
      <c r="J58" s="250" t="s">
        <v>212</v>
      </c>
      <c r="K58" s="166"/>
      <c r="L58" s="283">
        <f>L59+L61</f>
        <v>79305</v>
      </c>
      <c r="M58" s="283">
        <f>M59+M61</f>
        <v>0</v>
      </c>
      <c r="N58" s="283">
        <f>N59+N61</f>
        <v>79305</v>
      </c>
      <c r="O58" s="283">
        <f>O59+O61</f>
        <v>79305</v>
      </c>
      <c r="P58" s="283">
        <f>P59+P61</f>
        <v>79305</v>
      </c>
    </row>
    <row r="59" spans="1:16" ht="64.5" customHeight="1">
      <c r="A59" s="171"/>
      <c r="B59" s="48" t="s">
        <v>89</v>
      </c>
      <c r="C59" s="53">
        <v>63</v>
      </c>
      <c r="D59" s="53">
        <v>0</v>
      </c>
      <c r="E59" s="53">
        <v>12</v>
      </c>
      <c r="F59" s="201">
        <v>862</v>
      </c>
      <c r="G59" s="166" t="s">
        <v>45</v>
      </c>
      <c r="H59" s="166" t="s">
        <v>47</v>
      </c>
      <c r="I59" s="166" t="s">
        <v>226</v>
      </c>
      <c r="J59" s="250" t="s">
        <v>212</v>
      </c>
      <c r="K59" s="166" t="s">
        <v>23</v>
      </c>
      <c r="L59" s="283">
        <f>L60</f>
        <v>74600</v>
      </c>
      <c r="M59" s="283">
        <f>M60</f>
        <v>928.25</v>
      </c>
      <c r="N59" s="283">
        <f>N60</f>
        <v>75528.25</v>
      </c>
      <c r="O59" s="283">
        <f>O60</f>
        <v>74600</v>
      </c>
      <c r="P59" s="283">
        <f>P60</f>
        <v>74600</v>
      </c>
    </row>
    <row r="60" spans="1:16" ht="25.5" customHeight="1">
      <c r="A60" s="173"/>
      <c r="B60" s="48" t="s">
        <v>92</v>
      </c>
      <c r="C60" s="53">
        <v>63</v>
      </c>
      <c r="D60" s="53">
        <v>0</v>
      </c>
      <c r="E60" s="53">
        <v>12</v>
      </c>
      <c r="F60" s="201">
        <v>862</v>
      </c>
      <c r="G60" s="166" t="s">
        <v>45</v>
      </c>
      <c r="H60" s="166" t="s">
        <v>47</v>
      </c>
      <c r="I60" s="166" t="s">
        <v>226</v>
      </c>
      <c r="J60" s="250" t="s">
        <v>212</v>
      </c>
      <c r="K60" s="166" t="s">
        <v>24</v>
      </c>
      <c r="L60" s="283">
        <f>57300+17300</f>
        <v>74600</v>
      </c>
      <c r="M60" s="283">
        <v>928.25</v>
      </c>
      <c r="N60" s="283">
        <f>L60+M60</f>
        <v>75528.25</v>
      </c>
      <c r="O60" s="283">
        <f>L60</f>
        <v>74600</v>
      </c>
      <c r="P60" s="283">
        <f>O60</f>
        <v>74600</v>
      </c>
    </row>
    <row r="61" spans="1:16" ht="25.5" customHeight="1">
      <c r="A61" s="173"/>
      <c r="B61" s="70" t="s">
        <v>197</v>
      </c>
      <c r="C61" s="53">
        <v>63</v>
      </c>
      <c r="D61" s="53">
        <v>0</v>
      </c>
      <c r="E61" s="53">
        <v>12</v>
      </c>
      <c r="F61" s="201">
        <v>862</v>
      </c>
      <c r="G61" s="166" t="s">
        <v>45</v>
      </c>
      <c r="H61" s="166" t="s">
        <v>47</v>
      </c>
      <c r="I61" s="166" t="s">
        <v>226</v>
      </c>
      <c r="J61" s="250" t="s">
        <v>212</v>
      </c>
      <c r="K61" s="166" t="s">
        <v>25</v>
      </c>
      <c r="L61" s="283">
        <f>L62</f>
        <v>4705</v>
      </c>
      <c r="M61" s="283">
        <f>M62</f>
        <v>-928.25</v>
      </c>
      <c r="N61" s="283">
        <f>N62</f>
        <v>3776.75</v>
      </c>
      <c r="O61" s="283">
        <f>O62</f>
        <v>4705</v>
      </c>
      <c r="P61" s="283">
        <f>P62</f>
        <v>4705</v>
      </c>
    </row>
    <row r="62" spans="1:16" ht="25.5" customHeight="1">
      <c r="A62" s="173"/>
      <c r="B62" s="174" t="s">
        <v>94</v>
      </c>
      <c r="C62" s="53">
        <v>63</v>
      </c>
      <c r="D62" s="53">
        <v>0</v>
      </c>
      <c r="E62" s="53">
        <v>12</v>
      </c>
      <c r="F62" s="201">
        <v>862</v>
      </c>
      <c r="G62" s="166" t="s">
        <v>45</v>
      </c>
      <c r="H62" s="166" t="s">
        <v>47</v>
      </c>
      <c r="I62" s="166" t="s">
        <v>226</v>
      </c>
      <c r="J62" s="250" t="s">
        <v>212</v>
      </c>
      <c r="K62" s="166" t="s">
        <v>26</v>
      </c>
      <c r="L62" s="283">
        <v>4705</v>
      </c>
      <c r="M62" s="283">
        <v>-928.25</v>
      </c>
      <c r="N62" s="283">
        <f>L62+M62</f>
        <v>3776.75</v>
      </c>
      <c r="O62" s="283">
        <f>L62</f>
        <v>4705</v>
      </c>
      <c r="P62" s="283">
        <f>O62</f>
        <v>4705</v>
      </c>
    </row>
    <row r="63" spans="1:16" s="35" customFormat="1" ht="27.75" customHeight="1" hidden="1">
      <c r="A63" s="233" t="s">
        <v>53</v>
      </c>
      <c r="B63" s="234" t="s">
        <v>53</v>
      </c>
      <c r="C63" s="169">
        <v>63</v>
      </c>
      <c r="D63" s="169">
        <v>0</v>
      </c>
      <c r="E63" s="169">
        <v>13</v>
      </c>
      <c r="F63" s="226">
        <v>862</v>
      </c>
      <c r="G63" s="181" t="s">
        <v>47</v>
      </c>
      <c r="H63" s="181"/>
      <c r="I63" s="181"/>
      <c r="J63" s="183"/>
      <c r="K63" s="181"/>
      <c r="L63" s="282">
        <f aca="true" t="shared" si="10" ref="L63:P64">L64</f>
        <v>50000</v>
      </c>
      <c r="M63" s="282">
        <f t="shared" si="10"/>
        <v>0</v>
      </c>
      <c r="N63" s="282">
        <f t="shared" si="10"/>
        <v>50000</v>
      </c>
      <c r="O63" s="282">
        <f t="shared" si="10"/>
        <v>20000</v>
      </c>
      <c r="P63" s="282">
        <f t="shared" si="10"/>
        <v>20000</v>
      </c>
    </row>
    <row r="64" spans="1:16" s="36" customFormat="1" ht="14.25" customHeight="1" hidden="1">
      <c r="A64" s="233" t="s">
        <v>66</v>
      </c>
      <c r="B64" s="234" t="s">
        <v>66</v>
      </c>
      <c r="C64" s="169">
        <v>63</v>
      </c>
      <c r="D64" s="169">
        <v>0</v>
      </c>
      <c r="E64" s="169">
        <v>13</v>
      </c>
      <c r="F64" s="235">
        <v>862</v>
      </c>
      <c r="G64" s="181" t="s">
        <v>47</v>
      </c>
      <c r="H64" s="185" t="s">
        <v>58</v>
      </c>
      <c r="I64" s="185"/>
      <c r="J64" s="251"/>
      <c r="K64" s="166"/>
      <c r="L64" s="282">
        <f t="shared" si="10"/>
        <v>50000</v>
      </c>
      <c r="M64" s="282">
        <f t="shared" si="10"/>
        <v>0</v>
      </c>
      <c r="N64" s="282">
        <f t="shared" si="10"/>
        <v>50000</v>
      </c>
      <c r="O64" s="282">
        <f t="shared" si="10"/>
        <v>20000</v>
      </c>
      <c r="P64" s="282">
        <f t="shared" si="10"/>
        <v>20000</v>
      </c>
    </row>
    <row r="65" spans="1:16" ht="15" customHeight="1" hidden="1">
      <c r="A65" s="231" t="s">
        <v>98</v>
      </c>
      <c r="B65" s="231" t="s">
        <v>98</v>
      </c>
      <c r="C65" s="53">
        <v>63</v>
      </c>
      <c r="D65" s="53">
        <v>0</v>
      </c>
      <c r="E65" s="53">
        <v>13</v>
      </c>
      <c r="F65" s="201">
        <v>862</v>
      </c>
      <c r="G65" s="166" t="s">
        <v>47</v>
      </c>
      <c r="H65" s="166" t="s">
        <v>58</v>
      </c>
      <c r="I65" s="210" t="s">
        <v>303</v>
      </c>
      <c r="J65" s="250" t="s">
        <v>322</v>
      </c>
      <c r="K65" s="166"/>
      <c r="L65" s="283">
        <f>L66+L68</f>
        <v>50000</v>
      </c>
      <c r="M65" s="283">
        <f>M66+M68</f>
        <v>0</v>
      </c>
      <c r="N65" s="283">
        <f>N66+N68</f>
        <v>50000</v>
      </c>
      <c r="O65" s="283">
        <f>O66+O68</f>
        <v>20000</v>
      </c>
      <c r="P65" s="283">
        <f>P66+P68</f>
        <v>20000</v>
      </c>
    </row>
    <row r="66" spans="1:16" ht="36.75" customHeight="1" hidden="1">
      <c r="A66" s="186"/>
      <c r="B66" s="48" t="s">
        <v>89</v>
      </c>
      <c r="C66" s="53">
        <v>63</v>
      </c>
      <c r="D66" s="53">
        <v>0</v>
      </c>
      <c r="E66" s="53">
        <v>13</v>
      </c>
      <c r="F66" s="201">
        <v>862</v>
      </c>
      <c r="G66" s="166" t="s">
        <v>47</v>
      </c>
      <c r="H66" s="210" t="s">
        <v>58</v>
      </c>
      <c r="I66" s="210" t="s">
        <v>303</v>
      </c>
      <c r="J66" s="250" t="s">
        <v>322</v>
      </c>
      <c r="K66" s="166" t="s">
        <v>23</v>
      </c>
      <c r="L66" s="283">
        <f>L67</f>
        <v>0</v>
      </c>
      <c r="M66" s="283">
        <f>M67</f>
        <v>0</v>
      </c>
      <c r="N66" s="283">
        <f>N67</f>
        <v>0</v>
      </c>
      <c r="O66" s="283">
        <f>O67</f>
        <v>0</v>
      </c>
      <c r="P66" s="283">
        <f>P67</f>
        <v>0</v>
      </c>
    </row>
    <row r="67" spans="1:16" ht="15" customHeight="1" hidden="1">
      <c r="A67" s="187"/>
      <c r="B67" s="48" t="s">
        <v>103</v>
      </c>
      <c r="C67" s="53">
        <v>63</v>
      </c>
      <c r="D67" s="53">
        <v>0</v>
      </c>
      <c r="E67" s="53">
        <v>13</v>
      </c>
      <c r="F67" s="201">
        <v>862</v>
      </c>
      <c r="G67" s="166" t="s">
        <v>47</v>
      </c>
      <c r="H67" s="210" t="s">
        <v>58</v>
      </c>
      <c r="I67" s="210" t="s">
        <v>303</v>
      </c>
      <c r="J67" s="250" t="s">
        <v>322</v>
      </c>
      <c r="K67" s="166" t="s">
        <v>102</v>
      </c>
      <c r="L67" s="283">
        <v>0</v>
      </c>
      <c r="M67" s="283">
        <v>0</v>
      </c>
      <c r="N67" s="283">
        <v>0</v>
      </c>
      <c r="O67" s="283"/>
      <c r="P67" s="283"/>
    </row>
    <row r="68" spans="1:16" ht="14.25" customHeight="1" hidden="1">
      <c r="A68" s="187"/>
      <c r="B68" s="70" t="s">
        <v>197</v>
      </c>
      <c r="C68" s="53">
        <v>63</v>
      </c>
      <c r="D68" s="53">
        <v>0</v>
      </c>
      <c r="E68" s="53">
        <v>13</v>
      </c>
      <c r="F68" s="201">
        <v>862</v>
      </c>
      <c r="G68" s="166" t="s">
        <v>47</v>
      </c>
      <c r="H68" s="210" t="s">
        <v>58</v>
      </c>
      <c r="I68" s="210" t="s">
        <v>303</v>
      </c>
      <c r="J68" s="250" t="s">
        <v>322</v>
      </c>
      <c r="K68" s="166" t="s">
        <v>25</v>
      </c>
      <c r="L68" s="283">
        <f>L69</f>
        <v>50000</v>
      </c>
      <c r="M68" s="283">
        <f>M69</f>
        <v>0</v>
      </c>
      <c r="N68" s="283">
        <f>N69</f>
        <v>50000</v>
      </c>
      <c r="O68" s="283">
        <f>O69</f>
        <v>20000</v>
      </c>
      <c r="P68" s="283">
        <f>P69</f>
        <v>20000</v>
      </c>
    </row>
    <row r="69" spans="1:16" ht="15.75" customHeight="1" hidden="1">
      <c r="A69" s="55"/>
      <c r="B69" s="57" t="s">
        <v>94</v>
      </c>
      <c r="C69" s="53">
        <v>63</v>
      </c>
      <c r="D69" s="53">
        <v>0</v>
      </c>
      <c r="E69" s="53">
        <v>13</v>
      </c>
      <c r="F69" s="201">
        <v>862</v>
      </c>
      <c r="G69" s="166" t="s">
        <v>47</v>
      </c>
      <c r="H69" s="210" t="s">
        <v>58</v>
      </c>
      <c r="I69" s="210" t="s">
        <v>303</v>
      </c>
      <c r="J69" s="250" t="s">
        <v>322</v>
      </c>
      <c r="K69" s="166" t="s">
        <v>26</v>
      </c>
      <c r="L69" s="283">
        <f>20000+30000</f>
        <v>50000</v>
      </c>
      <c r="M69" s="283">
        <v>0</v>
      </c>
      <c r="N69" s="283">
        <f>L69+M69</f>
        <v>50000</v>
      </c>
      <c r="O69" s="283">
        <v>20000</v>
      </c>
      <c r="P69" s="283">
        <v>20000</v>
      </c>
    </row>
    <row r="70" spans="1:16" s="35" customFormat="1" ht="15.75" customHeight="1" hidden="1">
      <c r="A70" s="387" t="s">
        <v>175</v>
      </c>
      <c r="B70" s="387"/>
      <c r="C70" s="169">
        <v>63</v>
      </c>
      <c r="D70" s="169">
        <v>0</v>
      </c>
      <c r="E70" s="169">
        <v>14</v>
      </c>
      <c r="F70" s="205">
        <v>862</v>
      </c>
      <c r="G70" s="181" t="s">
        <v>49</v>
      </c>
      <c r="H70" s="227"/>
      <c r="I70" s="227"/>
      <c r="J70" s="248"/>
      <c r="K70" s="227"/>
      <c r="L70" s="282">
        <f aca="true" t="shared" si="11" ref="L70:N73">L71</f>
        <v>852651.71</v>
      </c>
      <c r="M70" s="282">
        <f t="shared" si="11"/>
        <v>0</v>
      </c>
      <c r="N70" s="282">
        <f t="shared" si="11"/>
        <v>852651.71</v>
      </c>
      <c r="O70" s="282">
        <f aca="true" t="shared" si="12" ref="O70:P73">O71</f>
        <v>521979</v>
      </c>
      <c r="P70" s="282">
        <f t="shared" si="12"/>
        <v>589950</v>
      </c>
    </row>
    <row r="71" spans="1:16" s="36" customFormat="1" ht="16.5" customHeight="1" hidden="1">
      <c r="A71" s="388" t="s">
        <v>176</v>
      </c>
      <c r="B71" s="389"/>
      <c r="C71" s="169">
        <v>63</v>
      </c>
      <c r="D71" s="169">
        <v>0</v>
      </c>
      <c r="E71" s="169">
        <v>14</v>
      </c>
      <c r="F71" s="190">
        <v>862</v>
      </c>
      <c r="G71" s="181" t="s">
        <v>49</v>
      </c>
      <c r="H71" s="181" t="s">
        <v>177</v>
      </c>
      <c r="I71" s="181"/>
      <c r="J71" s="183"/>
      <c r="K71" s="181"/>
      <c r="L71" s="282">
        <f t="shared" si="11"/>
        <v>852651.71</v>
      </c>
      <c r="M71" s="282">
        <f t="shared" si="11"/>
        <v>0</v>
      </c>
      <c r="N71" s="282">
        <f t="shared" si="11"/>
        <v>852651.71</v>
      </c>
      <c r="O71" s="282">
        <f t="shared" si="12"/>
        <v>521979</v>
      </c>
      <c r="P71" s="282">
        <f t="shared" si="12"/>
        <v>589950</v>
      </c>
    </row>
    <row r="72" spans="1:16" ht="194.25" customHeight="1" hidden="1">
      <c r="A72" s="390" t="s">
        <v>214</v>
      </c>
      <c r="B72" s="391"/>
      <c r="C72" s="236">
        <v>63</v>
      </c>
      <c r="D72" s="236">
        <v>0</v>
      </c>
      <c r="E72" s="236">
        <v>14</v>
      </c>
      <c r="F72" s="201">
        <v>862</v>
      </c>
      <c r="G72" s="230" t="s">
        <v>49</v>
      </c>
      <c r="H72" s="230" t="s">
        <v>177</v>
      </c>
      <c r="I72" s="230" t="s">
        <v>227</v>
      </c>
      <c r="J72" s="250" t="s">
        <v>213</v>
      </c>
      <c r="K72" s="166"/>
      <c r="L72" s="283">
        <f t="shared" si="11"/>
        <v>852651.71</v>
      </c>
      <c r="M72" s="283">
        <f t="shared" si="11"/>
        <v>0</v>
      </c>
      <c r="N72" s="283">
        <f t="shared" si="11"/>
        <v>852651.71</v>
      </c>
      <c r="O72" s="283">
        <f t="shared" si="12"/>
        <v>521979</v>
      </c>
      <c r="P72" s="283">
        <f t="shared" si="12"/>
        <v>589950</v>
      </c>
    </row>
    <row r="73" spans="1:16" ht="27" customHeight="1" hidden="1">
      <c r="A73" s="68"/>
      <c r="B73" s="70" t="s">
        <v>197</v>
      </c>
      <c r="C73" s="236">
        <v>63</v>
      </c>
      <c r="D73" s="236">
        <v>0</v>
      </c>
      <c r="E73" s="236">
        <v>14</v>
      </c>
      <c r="F73" s="201">
        <v>862</v>
      </c>
      <c r="G73" s="230" t="s">
        <v>49</v>
      </c>
      <c r="H73" s="230" t="s">
        <v>177</v>
      </c>
      <c r="I73" s="230" t="s">
        <v>227</v>
      </c>
      <c r="J73" s="250" t="s">
        <v>213</v>
      </c>
      <c r="K73" s="166" t="s">
        <v>25</v>
      </c>
      <c r="L73" s="283">
        <f t="shared" si="11"/>
        <v>852651.71</v>
      </c>
      <c r="M73" s="283">
        <f t="shared" si="11"/>
        <v>0</v>
      </c>
      <c r="N73" s="283">
        <f t="shared" si="11"/>
        <v>852651.71</v>
      </c>
      <c r="O73" s="283">
        <f t="shared" si="12"/>
        <v>521979</v>
      </c>
      <c r="P73" s="283">
        <f t="shared" si="12"/>
        <v>589950</v>
      </c>
    </row>
    <row r="74" spans="1:16" ht="27" customHeight="1" hidden="1">
      <c r="A74" s="68"/>
      <c r="B74" s="57" t="s">
        <v>94</v>
      </c>
      <c r="C74" s="236">
        <v>63</v>
      </c>
      <c r="D74" s="236">
        <v>0</v>
      </c>
      <c r="E74" s="236">
        <v>14</v>
      </c>
      <c r="F74" s="201">
        <v>862</v>
      </c>
      <c r="G74" s="230" t="s">
        <v>49</v>
      </c>
      <c r="H74" s="230" t="s">
        <v>177</v>
      </c>
      <c r="I74" s="230" t="s">
        <v>227</v>
      </c>
      <c r="J74" s="250" t="s">
        <v>213</v>
      </c>
      <c r="K74" s="166" t="s">
        <v>26</v>
      </c>
      <c r="L74" s="283">
        <f>805562+47089.71</f>
        <v>852651.71</v>
      </c>
      <c r="M74" s="283">
        <v>0</v>
      </c>
      <c r="N74" s="283">
        <f>L74+M74</f>
        <v>852651.71</v>
      </c>
      <c r="O74" s="283">
        <v>521979</v>
      </c>
      <c r="P74" s="283">
        <v>589950</v>
      </c>
    </row>
    <row r="75" spans="1:16" s="49" customFormat="1" ht="15.75" customHeight="1">
      <c r="A75" s="385" t="s">
        <v>54</v>
      </c>
      <c r="B75" s="386"/>
      <c r="C75" s="169">
        <v>63</v>
      </c>
      <c r="D75" s="169">
        <v>0</v>
      </c>
      <c r="E75" s="169">
        <v>15</v>
      </c>
      <c r="F75" s="226">
        <v>862</v>
      </c>
      <c r="G75" s="191" t="s">
        <v>50</v>
      </c>
      <c r="H75" s="191"/>
      <c r="I75" s="191"/>
      <c r="J75" s="249"/>
      <c r="K75" s="191"/>
      <c r="L75" s="285">
        <f>L76+L87+L80</f>
        <v>2831876</v>
      </c>
      <c r="M75" s="285">
        <f>M76+M87+M80</f>
        <v>1244100</v>
      </c>
      <c r="N75" s="285">
        <f>N76+N87+N80</f>
        <v>4075976</v>
      </c>
      <c r="O75" s="285">
        <f>O76+O87+O80</f>
        <v>118236</v>
      </c>
      <c r="P75" s="285">
        <f>P76+P87+P80</f>
        <v>146851</v>
      </c>
    </row>
    <row r="76" spans="1:16" s="49" customFormat="1" ht="15" customHeight="1">
      <c r="A76" s="385" t="s">
        <v>67</v>
      </c>
      <c r="B76" s="386"/>
      <c r="C76" s="169">
        <v>63</v>
      </c>
      <c r="D76" s="169">
        <v>0</v>
      </c>
      <c r="E76" s="169">
        <v>15</v>
      </c>
      <c r="F76" s="226">
        <v>862</v>
      </c>
      <c r="G76" s="191" t="s">
        <v>50</v>
      </c>
      <c r="H76" s="191" t="s">
        <v>44</v>
      </c>
      <c r="I76" s="191"/>
      <c r="J76" s="252"/>
      <c r="K76" s="237"/>
      <c r="L76" s="285">
        <f>L77</f>
        <v>300</v>
      </c>
      <c r="M76" s="285">
        <f>M77</f>
        <v>0</v>
      </c>
      <c r="N76" s="285">
        <f>N77</f>
        <v>300</v>
      </c>
      <c r="O76" s="285">
        <f>O77</f>
        <v>300</v>
      </c>
      <c r="P76" s="285">
        <f>P77</f>
        <v>300</v>
      </c>
    </row>
    <row r="77" spans="1:16" s="50" customFormat="1" ht="100.5" customHeight="1">
      <c r="A77" s="381" t="s">
        <v>216</v>
      </c>
      <c r="B77" s="382"/>
      <c r="C77" s="53">
        <v>63</v>
      </c>
      <c r="D77" s="53">
        <v>0</v>
      </c>
      <c r="E77" s="53">
        <v>15</v>
      </c>
      <c r="F77" s="201">
        <v>862</v>
      </c>
      <c r="G77" s="195" t="s">
        <v>50</v>
      </c>
      <c r="H77" s="195" t="s">
        <v>44</v>
      </c>
      <c r="I77" s="230" t="s">
        <v>228</v>
      </c>
      <c r="J77" s="250" t="s">
        <v>215</v>
      </c>
      <c r="K77" s="195"/>
      <c r="L77" s="286">
        <f aca="true" t="shared" si="13" ref="L77:P78">L78</f>
        <v>300</v>
      </c>
      <c r="M77" s="286">
        <f t="shared" si="13"/>
        <v>0</v>
      </c>
      <c r="N77" s="286">
        <f t="shared" si="13"/>
        <v>300</v>
      </c>
      <c r="O77" s="286">
        <f t="shared" si="13"/>
        <v>300</v>
      </c>
      <c r="P77" s="286">
        <f t="shared" si="13"/>
        <v>300</v>
      </c>
    </row>
    <row r="78" spans="1:16" s="50" customFormat="1" ht="25.5" customHeight="1">
      <c r="A78" s="48"/>
      <c r="B78" s="70" t="s">
        <v>197</v>
      </c>
      <c r="C78" s="53">
        <v>63</v>
      </c>
      <c r="D78" s="53">
        <v>0</v>
      </c>
      <c r="E78" s="53">
        <v>15</v>
      </c>
      <c r="F78" s="201">
        <v>862</v>
      </c>
      <c r="G78" s="195" t="s">
        <v>50</v>
      </c>
      <c r="H78" s="195" t="s">
        <v>44</v>
      </c>
      <c r="I78" s="230" t="s">
        <v>228</v>
      </c>
      <c r="J78" s="250" t="s">
        <v>215</v>
      </c>
      <c r="K78" s="195" t="s">
        <v>25</v>
      </c>
      <c r="L78" s="286">
        <f t="shared" si="13"/>
        <v>300</v>
      </c>
      <c r="M78" s="286">
        <f t="shared" si="13"/>
        <v>0</v>
      </c>
      <c r="N78" s="286">
        <f t="shared" si="13"/>
        <v>300</v>
      </c>
      <c r="O78" s="286">
        <f t="shared" si="13"/>
        <v>300</v>
      </c>
      <c r="P78" s="286">
        <f t="shared" si="13"/>
        <v>300</v>
      </c>
    </row>
    <row r="79" spans="1:16" s="50" customFormat="1" ht="25.5" customHeight="1">
      <c r="A79" s="48"/>
      <c r="B79" s="174" t="s">
        <v>94</v>
      </c>
      <c r="C79" s="53">
        <v>63</v>
      </c>
      <c r="D79" s="53">
        <v>0</v>
      </c>
      <c r="E79" s="53">
        <v>15</v>
      </c>
      <c r="F79" s="201">
        <v>862</v>
      </c>
      <c r="G79" s="195" t="s">
        <v>50</v>
      </c>
      <c r="H79" s="195" t="s">
        <v>44</v>
      </c>
      <c r="I79" s="230" t="s">
        <v>228</v>
      </c>
      <c r="J79" s="250" t="s">
        <v>215</v>
      </c>
      <c r="K79" s="195" t="s">
        <v>26</v>
      </c>
      <c r="L79" s="286">
        <v>300</v>
      </c>
      <c r="M79" s="286"/>
      <c r="N79" s="286">
        <f>L79+M79</f>
        <v>300</v>
      </c>
      <c r="O79" s="286">
        <v>300</v>
      </c>
      <c r="P79" s="286">
        <v>300</v>
      </c>
    </row>
    <row r="80" spans="1:16" s="50" customFormat="1" ht="15.75" customHeight="1">
      <c r="A80" s="176"/>
      <c r="B80" s="385" t="s">
        <v>353</v>
      </c>
      <c r="C80" s="386"/>
      <c r="D80" s="53"/>
      <c r="E80" s="53"/>
      <c r="F80" s="226">
        <v>862</v>
      </c>
      <c r="G80" s="191" t="s">
        <v>50</v>
      </c>
      <c r="H80" s="191" t="s">
        <v>45</v>
      </c>
      <c r="I80" s="230"/>
      <c r="J80" s="250"/>
      <c r="K80" s="195"/>
      <c r="L80" s="285">
        <f>L84+L81</f>
        <v>550300</v>
      </c>
      <c r="M80" s="285">
        <f>M84+M81</f>
        <v>740767</v>
      </c>
      <c r="N80" s="285">
        <f>N84+N81</f>
        <v>1291067</v>
      </c>
      <c r="O80" s="285">
        <f>O84</f>
        <v>300</v>
      </c>
      <c r="P80" s="285">
        <f>P84</f>
        <v>300</v>
      </c>
    </row>
    <row r="81" spans="1:16" s="50" customFormat="1" ht="15.75" customHeight="1">
      <c r="A81" s="176"/>
      <c r="B81" s="318" t="s">
        <v>398</v>
      </c>
      <c r="C81" s="319"/>
      <c r="D81" s="53"/>
      <c r="E81" s="53"/>
      <c r="F81" s="241">
        <v>862</v>
      </c>
      <c r="G81" s="195" t="s">
        <v>50</v>
      </c>
      <c r="H81" s="195" t="s">
        <v>45</v>
      </c>
      <c r="I81" s="230"/>
      <c r="J81" s="250" t="s">
        <v>399</v>
      </c>
      <c r="K81" s="195"/>
      <c r="L81" s="286">
        <f aca="true" t="shared" si="14" ref="L81:N82">L82</f>
        <v>550000</v>
      </c>
      <c r="M81" s="286">
        <f t="shared" si="14"/>
        <v>740767</v>
      </c>
      <c r="N81" s="286">
        <f t="shared" si="14"/>
        <v>1290767</v>
      </c>
      <c r="O81" s="285"/>
      <c r="P81" s="285"/>
    </row>
    <row r="82" spans="1:16" s="50" customFormat="1" ht="27" customHeight="1">
      <c r="A82" s="176"/>
      <c r="B82" s="70" t="s">
        <v>197</v>
      </c>
      <c r="C82" s="319"/>
      <c r="D82" s="53"/>
      <c r="E82" s="53"/>
      <c r="F82" s="241">
        <v>862</v>
      </c>
      <c r="G82" s="195" t="s">
        <v>50</v>
      </c>
      <c r="H82" s="195" t="s">
        <v>45</v>
      </c>
      <c r="I82" s="230"/>
      <c r="J82" s="250" t="s">
        <v>399</v>
      </c>
      <c r="K82" s="195" t="s">
        <v>25</v>
      </c>
      <c r="L82" s="286">
        <f t="shared" si="14"/>
        <v>550000</v>
      </c>
      <c r="M82" s="286">
        <f t="shared" si="14"/>
        <v>740767</v>
      </c>
      <c r="N82" s="286">
        <f t="shared" si="14"/>
        <v>1290767</v>
      </c>
      <c r="O82" s="285"/>
      <c r="P82" s="285"/>
    </row>
    <row r="83" spans="1:16" s="50" customFormat="1" ht="37.5" customHeight="1">
      <c r="A83" s="176"/>
      <c r="B83" s="57" t="s">
        <v>94</v>
      </c>
      <c r="C83" s="319"/>
      <c r="D83" s="53"/>
      <c r="E83" s="53"/>
      <c r="F83" s="241">
        <v>862</v>
      </c>
      <c r="G83" s="195" t="s">
        <v>50</v>
      </c>
      <c r="H83" s="195" t="s">
        <v>45</v>
      </c>
      <c r="I83" s="230"/>
      <c r="J83" s="250" t="s">
        <v>399</v>
      </c>
      <c r="K83" s="195" t="s">
        <v>26</v>
      </c>
      <c r="L83" s="286">
        <v>550000</v>
      </c>
      <c r="M83" s="286">
        <v>740767</v>
      </c>
      <c r="N83" s="286">
        <f>L83+M83</f>
        <v>1290767</v>
      </c>
      <c r="O83" s="285"/>
      <c r="P83" s="285"/>
    </row>
    <row r="84" spans="1:16" s="50" customFormat="1" ht="74.25" customHeight="1">
      <c r="A84" s="176"/>
      <c r="B84" s="272" t="s">
        <v>377</v>
      </c>
      <c r="C84" s="236"/>
      <c r="D84" s="236"/>
      <c r="E84" s="236"/>
      <c r="F84" s="240">
        <v>862</v>
      </c>
      <c r="G84" s="252" t="s">
        <v>50</v>
      </c>
      <c r="H84" s="252" t="s">
        <v>45</v>
      </c>
      <c r="I84" s="230" t="s">
        <v>228</v>
      </c>
      <c r="J84" s="250" t="s">
        <v>379</v>
      </c>
      <c r="K84" s="195"/>
      <c r="L84" s="286">
        <f aca="true" t="shared" si="15" ref="L84:P85">L85</f>
        <v>300</v>
      </c>
      <c r="M84" s="286">
        <f t="shared" si="15"/>
        <v>0</v>
      </c>
      <c r="N84" s="286">
        <f t="shared" si="15"/>
        <v>300</v>
      </c>
      <c r="O84" s="286">
        <f t="shared" si="15"/>
        <v>300</v>
      </c>
      <c r="P84" s="286">
        <f t="shared" si="15"/>
        <v>300</v>
      </c>
    </row>
    <row r="85" spans="1:16" s="50" customFormat="1" ht="25.5" customHeight="1">
      <c r="A85" s="176"/>
      <c r="B85" s="70" t="s">
        <v>197</v>
      </c>
      <c r="C85" s="236"/>
      <c r="D85" s="236"/>
      <c r="E85" s="236"/>
      <c r="F85" s="240">
        <v>862</v>
      </c>
      <c r="G85" s="252" t="s">
        <v>50</v>
      </c>
      <c r="H85" s="252" t="s">
        <v>45</v>
      </c>
      <c r="I85" s="230" t="s">
        <v>228</v>
      </c>
      <c r="J85" s="250" t="s">
        <v>379</v>
      </c>
      <c r="K85" s="195" t="s">
        <v>25</v>
      </c>
      <c r="L85" s="286">
        <f t="shared" si="15"/>
        <v>300</v>
      </c>
      <c r="M85" s="286">
        <f t="shared" si="15"/>
        <v>0</v>
      </c>
      <c r="N85" s="286">
        <f t="shared" si="15"/>
        <v>300</v>
      </c>
      <c r="O85" s="286">
        <f t="shared" si="15"/>
        <v>300</v>
      </c>
      <c r="P85" s="286">
        <f t="shared" si="15"/>
        <v>300</v>
      </c>
    </row>
    <row r="86" spans="1:16" s="50" customFormat="1" ht="25.5" customHeight="1">
      <c r="A86" s="176"/>
      <c r="B86" s="57" t="s">
        <v>94</v>
      </c>
      <c r="C86" s="236"/>
      <c r="D86" s="236"/>
      <c r="E86" s="236"/>
      <c r="F86" s="240">
        <v>862</v>
      </c>
      <c r="G86" s="252" t="s">
        <v>50</v>
      </c>
      <c r="H86" s="252" t="s">
        <v>45</v>
      </c>
      <c r="I86" s="230" t="s">
        <v>228</v>
      </c>
      <c r="J86" s="250" t="s">
        <v>379</v>
      </c>
      <c r="K86" s="195" t="s">
        <v>26</v>
      </c>
      <c r="L86" s="286">
        <v>300</v>
      </c>
      <c r="M86" s="286"/>
      <c r="N86" s="286">
        <f>L86+M86</f>
        <v>300</v>
      </c>
      <c r="O86" s="286">
        <v>300</v>
      </c>
      <c r="P86" s="286">
        <v>300</v>
      </c>
    </row>
    <row r="87" spans="1:16" s="51" customFormat="1" ht="15" customHeight="1">
      <c r="A87" s="383" t="s">
        <v>68</v>
      </c>
      <c r="B87" s="384"/>
      <c r="C87" s="169">
        <v>63</v>
      </c>
      <c r="D87" s="169">
        <v>0</v>
      </c>
      <c r="E87" s="169">
        <v>15</v>
      </c>
      <c r="F87" s="205">
        <v>862</v>
      </c>
      <c r="G87" s="191" t="s">
        <v>50</v>
      </c>
      <c r="H87" s="191" t="s">
        <v>47</v>
      </c>
      <c r="I87" s="191"/>
      <c r="J87" s="249"/>
      <c r="K87" s="191"/>
      <c r="L87" s="285">
        <f>L88+L94+L91+L98</f>
        <v>2281276</v>
      </c>
      <c r="M87" s="285">
        <f>M88+M94+M91+M98</f>
        <v>503333</v>
      </c>
      <c r="N87" s="285">
        <f>N88+N94+N91+N98</f>
        <v>2784609</v>
      </c>
      <c r="O87" s="285">
        <f>O88+O94+O91</f>
        <v>117636</v>
      </c>
      <c r="P87" s="285">
        <f>P88+P94+P91</f>
        <v>146251</v>
      </c>
    </row>
    <row r="88" spans="1:16" s="50" customFormat="1" ht="15" customHeight="1" hidden="1">
      <c r="A88" s="373" t="s">
        <v>218</v>
      </c>
      <c r="B88" s="374"/>
      <c r="C88" s="53">
        <v>63</v>
      </c>
      <c r="D88" s="53">
        <v>0</v>
      </c>
      <c r="E88" s="53">
        <v>15</v>
      </c>
      <c r="F88" s="201">
        <v>862</v>
      </c>
      <c r="G88" s="195" t="s">
        <v>50</v>
      </c>
      <c r="H88" s="195" t="s">
        <v>47</v>
      </c>
      <c r="I88" s="230" t="s">
        <v>229</v>
      </c>
      <c r="J88" s="250" t="s">
        <v>217</v>
      </c>
      <c r="K88" s="195"/>
      <c r="L88" s="286">
        <f aca="true" t="shared" si="16" ref="L88:P89">L89</f>
        <v>371338</v>
      </c>
      <c r="M88" s="286">
        <f t="shared" si="16"/>
        <v>0</v>
      </c>
      <c r="N88" s="286">
        <f t="shared" si="16"/>
        <v>371338</v>
      </c>
      <c r="O88" s="286">
        <f t="shared" si="16"/>
        <v>106338</v>
      </c>
      <c r="P88" s="286">
        <f t="shared" si="16"/>
        <v>114838</v>
      </c>
    </row>
    <row r="89" spans="1:16" s="50" customFormat="1" ht="28.5" customHeight="1" hidden="1">
      <c r="A89" s="173"/>
      <c r="B89" s="70" t="s">
        <v>197</v>
      </c>
      <c r="C89" s="53">
        <v>63</v>
      </c>
      <c r="D89" s="53">
        <v>0</v>
      </c>
      <c r="E89" s="53">
        <v>15</v>
      </c>
      <c r="F89" s="201">
        <v>862</v>
      </c>
      <c r="G89" s="195" t="s">
        <v>50</v>
      </c>
      <c r="H89" s="195" t="s">
        <v>47</v>
      </c>
      <c r="I89" s="230" t="s">
        <v>229</v>
      </c>
      <c r="J89" s="250" t="s">
        <v>217</v>
      </c>
      <c r="K89" s="195" t="s">
        <v>25</v>
      </c>
      <c r="L89" s="286">
        <f t="shared" si="16"/>
        <v>371338</v>
      </c>
      <c r="M89" s="286">
        <f t="shared" si="16"/>
        <v>0</v>
      </c>
      <c r="N89" s="286">
        <f t="shared" si="16"/>
        <v>371338</v>
      </c>
      <c r="O89" s="286">
        <f t="shared" si="16"/>
        <v>106338</v>
      </c>
      <c r="P89" s="286">
        <f t="shared" si="16"/>
        <v>114838</v>
      </c>
    </row>
    <row r="90" spans="1:16" s="50" customFormat="1" ht="28.5" customHeight="1" hidden="1">
      <c r="A90" s="173"/>
      <c r="B90" s="174" t="s">
        <v>94</v>
      </c>
      <c r="C90" s="53">
        <v>63</v>
      </c>
      <c r="D90" s="53">
        <v>0</v>
      </c>
      <c r="E90" s="53">
        <v>15</v>
      </c>
      <c r="F90" s="201">
        <v>862</v>
      </c>
      <c r="G90" s="195" t="s">
        <v>50</v>
      </c>
      <c r="H90" s="195" t="s">
        <v>47</v>
      </c>
      <c r="I90" s="230" t="s">
        <v>229</v>
      </c>
      <c r="J90" s="250" t="s">
        <v>217</v>
      </c>
      <c r="K90" s="195" t="s">
        <v>26</v>
      </c>
      <c r="L90" s="286">
        <f>83700+12125+7513+128000+140000</f>
        <v>371338</v>
      </c>
      <c r="M90" s="286"/>
      <c r="N90" s="286">
        <f>L90+M90</f>
        <v>371338</v>
      </c>
      <c r="O90" s="286">
        <f>83700+21117+1521</f>
        <v>106338</v>
      </c>
      <c r="P90" s="286">
        <f>83700+29630+1508</f>
        <v>114838</v>
      </c>
    </row>
    <row r="91" spans="1:16" s="50" customFormat="1" ht="16.5" customHeight="1">
      <c r="A91" s="198"/>
      <c r="B91" s="199" t="s">
        <v>352</v>
      </c>
      <c r="C91" s="169"/>
      <c r="D91" s="169"/>
      <c r="E91" s="169"/>
      <c r="F91" s="205">
        <v>862</v>
      </c>
      <c r="G91" s="191" t="s">
        <v>50</v>
      </c>
      <c r="H91" s="191" t="s">
        <v>47</v>
      </c>
      <c r="I91" s="183" t="s">
        <v>309</v>
      </c>
      <c r="J91" s="262" t="s">
        <v>351</v>
      </c>
      <c r="K91" s="191"/>
      <c r="L91" s="285">
        <f aca="true" t="shared" si="17" ref="L91:P92">L92</f>
        <v>61000</v>
      </c>
      <c r="M91" s="285">
        <f t="shared" si="17"/>
        <v>0</v>
      </c>
      <c r="N91" s="285">
        <f t="shared" si="17"/>
        <v>61000</v>
      </c>
      <c r="O91" s="285">
        <f t="shared" si="17"/>
        <v>5000</v>
      </c>
      <c r="P91" s="285">
        <f t="shared" si="17"/>
        <v>10000</v>
      </c>
    </row>
    <row r="92" spans="1:16" s="50" customFormat="1" ht="28.5" customHeight="1">
      <c r="A92" s="198"/>
      <c r="B92" s="70" t="s">
        <v>197</v>
      </c>
      <c r="C92" s="53">
        <v>63</v>
      </c>
      <c r="D92" s="53">
        <v>0</v>
      </c>
      <c r="E92" s="53">
        <v>15</v>
      </c>
      <c r="F92" s="201">
        <v>862</v>
      </c>
      <c r="G92" s="195" t="s">
        <v>50</v>
      </c>
      <c r="H92" s="195" t="s">
        <v>47</v>
      </c>
      <c r="I92" s="230" t="s">
        <v>309</v>
      </c>
      <c r="J92" s="250" t="s">
        <v>351</v>
      </c>
      <c r="K92" s="195" t="s">
        <v>25</v>
      </c>
      <c r="L92" s="286">
        <f t="shared" si="17"/>
        <v>61000</v>
      </c>
      <c r="M92" s="286">
        <f t="shared" si="17"/>
        <v>0</v>
      </c>
      <c r="N92" s="286">
        <f t="shared" si="17"/>
        <v>61000</v>
      </c>
      <c r="O92" s="286">
        <f t="shared" si="17"/>
        <v>5000</v>
      </c>
      <c r="P92" s="286">
        <f t="shared" si="17"/>
        <v>10000</v>
      </c>
    </row>
    <row r="93" spans="1:16" s="50" customFormat="1" ht="28.5" customHeight="1">
      <c r="A93" s="198"/>
      <c r="B93" s="174" t="s">
        <v>94</v>
      </c>
      <c r="C93" s="53">
        <v>63</v>
      </c>
      <c r="D93" s="53">
        <v>0</v>
      </c>
      <c r="E93" s="53">
        <v>15</v>
      </c>
      <c r="F93" s="201">
        <v>862</v>
      </c>
      <c r="G93" s="195" t="s">
        <v>50</v>
      </c>
      <c r="H93" s="195" t="s">
        <v>47</v>
      </c>
      <c r="I93" s="230" t="s">
        <v>309</v>
      </c>
      <c r="J93" s="250" t="s">
        <v>351</v>
      </c>
      <c r="K93" s="195" t="s">
        <v>26</v>
      </c>
      <c r="L93" s="286">
        <f>5000+21000+35000</f>
        <v>61000</v>
      </c>
      <c r="M93" s="286"/>
      <c r="N93" s="286">
        <f>L93+M93</f>
        <v>61000</v>
      </c>
      <c r="O93" s="286">
        <f>5000</f>
        <v>5000</v>
      </c>
      <c r="P93" s="286">
        <v>10000</v>
      </c>
    </row>
    <row r="94" spans="1:24" s="50" customFormat="1" ht="27.75" customHeight="1">
      <c r="A94" s="383" t="s">
        <v>100</v>
      </c>
      <c r="B94" s="384"/>
      <c r="C94" s="169">
        <v>63</v>
      </c>
      <c r="D94" s="169">
        <v>0</v>
      </c>
      <c r="E94" s="169">
        <v>15</v>
      </c>
      <c r="F94" s="205">
        <v>862</v>
      </c>
      <c r="G94" s="191" t="s">
        <v>50</v>
      </c>
      <c r="H94" s="191" t="s">
        <v>47</v>
      </c>
      <c r="I94" s="183" t="s">
        <v>309</v>
      </c>
      <c r="J94" s="262" t="s">
        <v>323</v>
      </c>
      <c r="K94" s="191"/>
      <c r="L94" s="285">
        <f aca="true" t="shared" si="18" ref="L94:P95">L95</f>
        <v>1398938</v>
      </c>
      <c r="M94" s="285">
        <f t="shared" si="18"/>
        <v>503333</v>
      </c>
      <c r="N94" s="285">
        <f t="shared" si="18"/>
        <v>1902271</v>
      </c>
      <c r="O94" s="285">
        <f t="shared" si="18"/>
        <v>6298</v>
      </c>
      <c r="P94" s="285">
        <f t="shared" si="18"/>
        <v>21413</v>
      </c>
      <c r="U94" s="296"/>
      <c r="V94" s="297">
        <v>2019</v>
      </c>
      <c r="W94" s="297">
        <v>2020</v>
      </c>
      <c r="X94" s="297">
        <v>2021</v>
      </c>
    </row>
    <row r="95" spans="1:24" s="50" customFormat="1" ht="15" customHeight="1">
      <c r="A95" s="173"/>
      <c r="B95" s="70" t="s">
        <v>197</v>
      </c>
      <c r="C95" s="53">
        <v>63</v>
      </c>
      <c r="D95" s="53">
        <v>0</v>
      </c>
      <c r="E95" s="53">
        <v>15</v>
      </c>
      <c r="F95" s="201">
        <v>862</v>
      </c>
      <c r="G95" s="195" t="s">
        <v>50</v>
      </c>
      <c r="H95" s="195" t="s">
        <v>47</v>
      </c>
      <c r="I95" s="230" t="s">
        <v>309</v>
      </c>
      <c r="J95" s="250" t="s">
        <v>323</v>
      </c>
      <c r="K95" s="195" t="s">
        <v>25</v>
      </c>
      <c r="L95" s="286">
        <f t="shared" si="18"/>
        <v>1398938</v>
      </c>
      <c r="M95" s="286">
        <f>M96</f>
        <v>503333</v>
      </c>
      <c r="N95" s="286">
        <f t="shared" si="18"/>
        <v>1902271</v>
      </c>
      <c r="O95" s="286">
        <f t="shared" si="18"/>
        <v>6298</v>
      </c>
      <c r="P95" s="286">
        <f t="shared" si="18"/>
        <v>21413</v>
      </c>
      <c r="U95" s="298" t="s">
        <v>383</v>
      </c>
      <c r="V95" s="299">
        <v>16300</v>
      </c>
      <c r="W95" s="299">
        <v>16300</v>
      </c>
      <c r="X95" s="299">
        <v>16300</v>
      </c>
    </row>
    <row r="96" spans="1:24" ht="14.25" customHeight="1">
      <c r="A96" s="173"/>
      <c r="B96" s="174" t="s">
        <v>94</v>
      </c>
      <c r="C96" s="53">
        <v>63</v>
      </c>
      <c r="D96" s="53">
        <v>0</v>
      </c>
      <c r="E96" s="53">
        <v>15</v>
      </c>
      <c r="F96" s="201">
        <v>862</v>
      </c>
      <c r="G96" s="195" t="s">
        <v>50</v>
      </c>
      <c r="H96" s="195" t="s">
        <v>47</v>
      </c>
      <c r="I96" s="230" t="s">
        <v>309</v>
      </c>
      <c r="J96" s="250" t="s">
        <v>323</v>
      </c>
      <c r="K96" s="195" t="s">
        <v>26</v>
      </c>
      <c r="L96" s="283">
        <f>5000+5213-300+240000+1149025</f>
        <v>1398938</v>
      </c>
      <c r="M96" s="283">
        <v>503333</v>
      </c>
      <c r="N96" s="283">
        <f>L96+M96</f>
        <v>1902271</v>
      </c>
      <c r="O96" s="283">
        <f>15000-8402-300</f>
        <v>6298</v>
      </c>
      <c r="P96" s="283">
        <f>5000-3287-300+10000+10000</f>
        <v>21413</v>
      </c>
      <c r="U96" s="300" t="s">
        <v>384</v>
      </c>
      <c r="V96" s="301">
        <f>45000+83700</f>
        <v>128700</v>
      </c>
      <c r="W96" s="301">
        <f>45000+83700</f>
        <v>128700</v>
      </c>
      <c r="X96" s="301">
        <f>45000+83700</f>
        <v>128700</v>
      </c>
    </row>
    <row r="97" spans="1:24" ht="14.25" customHeight="1" hidden="1">
      <c r="A97" s="173"/>
      <c r="B97" s="174" t="s">
        <v>155</v>
      </c>
      <c r="C97" s="53">
        <v>63</v>
      </c>
      <c r="D97" s="53">
        <v>0</v>
      </c>
      <c r="E97" s="53"/>
      <c r="F97" s="201">
        <v>863</v>
      </c>
      <c r="G97" s="195" t="s">
        <v>50</v>
      </c>
      <c r="H97" s="195" t="s">
        <v>47</v>
      </c>
      <c r="I97" s="195" t="s">
        <v>99</v>
      </c>
      <c r="J97" s="252" t="s">
        <v>181</v>
      </c>
      <c r="K97" s="195" t="s">
        <v>154</v>
      </c>
      <c r="L97" s="283"/>
      <c r="M97" s="283"/>
      <c r="N97" s="283"/>
      <c r="O97" s="283"/>
      <c r="P97" s="284"/>
      <c r="U97" s="302"/>
      <c r="V97" s="302"/>
      <c r="W97" s="302"/>
      <c r="X97" s="302"/>
    </row>
    <row r="98" spans="1:24" ht="14.25" customHeight="1">
      <c r="A98" s="198"/>
      <c r="B98" s="383" t="s">
        <v>400</v>
      </c>
      <c r="C98" s="384"/>
      <c r="D98" s="53"/>
      <c r="E98" s="53"/>
      <c r="F98" s="205">
        <v>862</v>
      </c>
      <c r="G98" s="191" t="s">
        <v>50</v>
      </c>
      <c r="H98" s="191" t="s">
        <v>47</v>
      </c>
      <c r="I98" s="191"/>
      <c r="J98" s="249" t="s">
        <v>401</v>
      </c>
      <c r="K98" s="191"/>
      <c r="L98" s="282">
        <f aca="true" t="shared" si="19" ref="L98:N99">L99</f>
        <v>450000</v>
      </c>
      <c r="M98" s="282">
        <f t="shared" si="19"/>
        <v>0</v>
      </c>
      <c r="N98" s="282">
        <f t="shared" si="19"/>
        <v>450000</v>
      </c>
      <c r="O98" s="283"/>
      <c r="P98" s="284"/>
      <c r="U98" s="302"/>
      <c r="V98" s="302"/>
      <c r="W98" s="302"/>
      <c r="X98" s="302"/>
    </row>
    <row r="99" spans="1:24" ht="24.75" customHeight="1">
      <c r="A99" s="198"/>
      <c r="B99" s="70" t="s">
        <v>197</v>
      </c>
      <c r="C99" s="70" t="s">
        <v>197</v>
      </c>
      <c r="D99" s="53"/>
      <c r="E99" s="53"/>
      <c r="F99" s="201">
        <v>862</v>
      </c>
      <c r="G99" s="195" t="s">
        <v>50</v>
      </c>
      <c r="H99" s="195" t="s">
        <v>47</v>
      </c>
      <c r="I99" s="195"/>
      <c r="J99" s="252" t="s">
        <v>401</v>
      </c>
      <c r="K99" s="195" t="s">
        <v>25</v>
      </c>
      <c r="L99" s="283">
        <f>L100</f>
        <v>450000</v>
      </c>
      <c r="M99" s="283">
        <f t="shared" si="19"/>
        <v>0</v>
      </c>
      <c r="N99" s="283">
        <f t="shared" si="19"/>
        <v>450000</v>
      </c>
      <c r="O99" s="283"/>
      <c r="P99" s="284"/>
      <c r="U99" s="302"/>
      <c r="V99" s="302"/>
      <c r="W99" s="302"/>
      <c r="X99" s="302"/>
    </row>
    <row r="100" spans="1:24" ht="36.75" customHeight="1">
      <c r="A100" s="198"/>
      <c r="B100" s="174" t="s">
        <v>94</v>
      </c>
      <c r="C100" s="174" t="s">
        <v>94</v>
      </c>
      <c r="D100" s="53"/>
      <c r="E100" s="53"/>
      <c r="F100" s="201">
        <v>862</v>
      </c>
      <c r="G100" s="195" t="s">
        <v>50</v>
      </c>
      <c r="H100" s="195" t="s">
        <v>47</v>
      </c>
      <c r="I100" s="195"/>
      <c r="J100" s="252" t="s">
        <v>401</v>
      </c>
      <c r="K100" s="195" t="s">
        <v>26</v>
      </c>
      <c r="L100" s="283">
        <f>95000+245000+110000</f>
        <v>450000</v>
      </c>
      <c r="M100" s="283"/>
      <c r="N100" s="283">
        <f>L100+M100</f>
        <v>450000</v>
      </c>
      <c r="O100" s="283"/>
      <c r="P100" s="284"/>
      <c r="U100" s="302"/>
      <c r="V100" s="302"/>
      <c r="W100" s="302"/>
      <c r="X100" s="302"/>
    </row>
    <row r="101" spans="1:24" ht="18" customHeight="1">
      <c r="A101" s="198"/>
      <c r="B101" s="325" t="s">
        <v>422</v>
      </c>
      <c r="C101" s="70"/>
      <c r="D101" s="53"/>
      <c r="E101" s="53"/>
      <c r="F101" s="205">
        <v>862</v>
      </c>
      <c r="G101" s="191" t="s">
        <v>58</v>
      </c>
      <c r="H101" s="195"/>
      <c r="I101" s="195"/>
      <c r="J101" s="252"/>
      <c r="K101" s="195"/>
      <c r="L101" s="282">
        <f aca="true" t="shared" si="20" ref="L101:N104">L102</f>
        <v>75000</v>
      </c>
      <c r="M101" s="282">
        <f t="shared" si="20"/>
        <v>0</v>
      </c>
      <c r="N101" s="282">
        <f t="shared" si="20"/>
        <v>75000</v>
      </c>
      <c r="O101" s="283"/>
      <c r="P101" s="284"/>
      <c r="U101" s="302"/>
      <c r="V101" s="302"/>
      <c r="W101" s="302"/>
      <c r="X101" s="302"/>
    </row>
    <row r="102" spans="1:24" ht="15.75" customHeight="1">
      <c r="A102" s="198"/>
      <c r="B102" s="325" t="s">
        <v>423</v>
      </c>
      <c r="C102" s="70"/>
      <c r="D102" s="53"/>
      <c r="E102" s="53"/>
      <c r="F102" s="205">
        <v>862</v>
      </c>
      <c r="G102" s="326" t="s">
        <v>58</v>
      </c>
      <c r="H102" s="326" t="s">
        <v>44</v>
      </c>
      <c r="I102" s="195" t="s">
        <v>424</v>
      </c>
      <c r="J102" s="252"/>
      <c r="K102" s="195"/>
      <c r="L102" s="283">
        <f t="shared" si="20"/>
        <v>75000</v>
      </c>
      <c r="M102" s="283">
        <f t="shared" si="20"/>
        <v>0</v>
      </c>
      <c r="N102" s="283">
        <f t="shared" si="20"/>
        <v>75000</v>
      </c>
      <c r="O102" s="283"/>
      <c r="P102" s="284"/>
      <c r="U102" s="302"/>
      <c r="V102" s="302"/>
      <c r="W102" s="302"/>
      <c r="X102" s="302"/>
    </row>
    <row r="103" spans="1:24" ht="27" customHeight="1">
      <c r="A103" s="198"/>
      <c r="B103" s="327" t="s">
        <v>425</v>
      </c>
      <c r="C103" s="70"/>
      <c r="D103" s="53"/>
      <c r="E103" s="53"/>
      <c r="F103" s="201">
        <v>862</v>
      </c>
      <c r="G103" s="328" t="s">
        <v>58</v>
      </c>
      <c r="H103" s="328" t="s">
        <v>44</v>
      </c>
      <c r="I103" s="195" t="s">
        <v>424</v>
      </c>
      <c r="J103" s="252" t="s">
        <v>426</v>
      </c>
      <c r="K103" s="195"/>
      <c r="L103" s="283">
        <f t="shared" si="20"/>
        <v>75000</v>
      </c>
      <c r="M103" s="283">
        <f t="shared" si="20"/>
        <v>0</v>
      </c>
      <c r="N103" s="283">
        <f t="shared" si="20"/>
        <v>75000</v>
      </c>
      <c r="O103" s="283"/>
      <c r="P103" s="284"/>
      <c r="U103" s="302"/>
      <c r="V103" s="302"/>
      <c r="W103" s="302"/>
      <c r="X103" s="302"/>
    </row>
    <row r="104" spans="1:24" ht="23.25" customHeight="1">
      <c r="A104" s="198"/>
      <c r="B104" s="329" t="s">
        <v>427</v>
      </c>
      <c r="C104" s="70"/>
      <c r="D104" s="53"/>
      <c r="E104" s="53"/>
      <c r="F104" s="201">
        <v>862</v>
      </c>
      <c r="G104" s="328" t="s">
        <v>58</v>
      </c>
      <c r="H104" s="328" t="s">
        <v>44</v>
      </c>
      <c r="I104" s="195" t="s">
        <v>424</v>
      </c>
      <c r="J104" s="252" t="s">
        <v>426</v>
      </c>
      <c r="K104" s="195" t="s">
        <v>428</v>
      </c>
      <c r="L104" s="283">
        <f t="shared" si="20"/>
        <v>75000</v>
      </c>
      <c r="M104" s="283">
        <f t="shared" si="20"/>
        <v>0</v>
      </c>
      <c r="N104" s="283">
        <f t="shared" si="20"/>
        <v>75000</v>
      </c>
      <c r="O104" s="283"/>
      <c r="P104" s="284"/>
      <c r="U104" s="302"/>
      <c r="V104" s="302"/>
      <c r="W104" s="302"/>
      <c r="X104" s="302"/>
    </row>
    <row r="105" spans="1:24" ht="27" customHeight="1">
      <c r="A105" s="198"/>
      <c r="B105" s="177" t="s">
        <v>429</v>
      </c>
      <c r="C105" s="70"/>
      <c r="D105" s="53"/>
      <c r="E105" s="53"/>
      <c r="F105" s="201">
        <v>862</v>
      </c>
      <c r="G105" s="328" t="s">
        <v>58</v>
      </c>
      <c r="H105" s="328" t="s">
        <v>44</v>
      </c>
      <c r="I105" s="195" t="s">
        <v>424</v>
      </c>
      <c r="J105" s="252" t="s">
        <v>426</v>
      </c>
      <c r="K105" s="195" t="s">
        <v>430</v>
      </c>
      <c r="L105" s="283">
        <f>75000</f>
        <v>75000</v>
      </c>
      <c r="M105" s="283"/>
      <c r="N105" s="283">
        <f>L105+M105</f>
        <v>75000</v>
      </c>
      <c r="O105" s="283"/>
      <c r="P105" s="284"/>
      <c r="U105" s="302"/>
      <c r="V105" s="302"/>
      <c r="W105" s="302"/>
      <c r="X105" s="302"/>
    </row>
    <row r="106" spans="1:24" ht="13.5" customHeight="1" hidden="1">
      <c r="A106" s="379" t="s">
        <v>57</v>
      </c>
      <c r="B106" s="380"/>
      <c r="C106" s="169">
        <v>63</v>
      </c>
      <c r="D106" s="169">
        <v>0</v>
      </c>
      <c r="E106" s="169">
        <v>18</v>
      </c>
      <c r="F106" s="205">
        <v>862</v>
      </c>
      <c r="G106" s="181" t="s">
        <v>60</v>
      </c>
      <c r="H106" s="181"/>
      <c r="I106" s="181"/>
      <c r="J106" s="183"/>
      <c r="K106" s="181"/>
      <c r="L106" s="282">
        <f aca="true" t="shared" si="21" ref="L106:P109">L107</f>
        <v>4000</v>
      </c>
      <c r="M106" s="282">
        <f t="shared" si="21"/>
        <v>0</v>
      </c>
      <c r="N106" s="282">
        <f t="shared" si="21"/>
        <v>4000</v>
      </c>
      <c r="O106" s="282">
        <f t="shared" si="21"/>
        <v>4000</v>
      </c>
      <c r="P106" s="282">
        <f t="shared" si="21"/>
        <v>4000</v>
      </c>
      <c r="U106" s="298" t="s">
        <v>380</v>
      </c>
      <c r="V106" s="303">
        <f>59100+L74+L93+L96+12125</f>
        <v>2383814.71</v>
      </c>
      <c r="W106" s="303">
        <f>87100+O74+O93+O96+21117</f>
        <v>641494</v>
      </c>
      <c r="X106" s="303">
        <f>87100+P74+P93+P96+29630</f>
        <v>738093</v>
      </c>
    </row>
    <row r="107" spans="1:24" ht="13.5" customHeight="1" hidden="1">
      <c r="A107" s="383" t="s">
        <v>129</v>
      </c>
      <c r="B107" s="384"/>
      <c r="C107" s="169">
        <v>63</v>
      </c>
      <c r="D107" s="169">
        <v>0</v>
      </c>
      <c r="E107" s="169">
        <v>18</v>
      </c>
      <c r="F107" s="205">
        <v>862</v>
      </c>
      <c r="G107" s="181" t="s">
        <v>60</v>
      </c>
      <c r="H107" s="181" t="s">
        <v>45</v>
      </c>
      <c r="I107" s="181"/>
      <c r="J107" s="183"/>
      <c r="K107" s="181"/>
      <c r="L107" s="282">
        <f aca="true" t="shared" si="22" ref="L107:N109">L108</f>
        <v>4000</v>
      </c>
      <c r="M107" s="282">
        <f t="shared" si="22"/>
        <v>0</v>
      </c>
      <c r="N107" s="282">
        <f t="shared" si="22"/>
        <v>4000</v>
      </c>
      <c r="O107" s="282">
        <f t="shared" si="21"/>
        <v>4000</v>
      </c>
      <c r="P107" s="282">
        <f t="shared" si="21"/>
        <v>4000</v>
      </c>
      <c r="U107" s="300" t="s">
        <v>381</v>
      </c>
      <c r="V107" s="304">
        <f>35900+L30+L69+7513</f>
        <v>104413</v>
      </c>
      <c r="W107" s="304">
        <f>31900+O30+O69+1521</f>
        <v>60421</v>
      </c>
      <c r="X107" s="304">
        <f>30400+P30+P69+1508</f>
        <v>58908</v>
      </c>
    </row>
    <row r="108" spans="1:24" ht="98.25" customHeight="1" hidden="1">
      <c r="A108" s="373" t="s">
        <v>220</v>
      </c>
      <c r="B108" s="374"/>
      <c r="C108" s="53">
        <v>63</v>
      </c>
      <c r="D108" s="53">
        <v>0</v>
      </c>
      <c r="E108" s="53">
        <v>18</v>
      </c>
      <c r="F108" s="201">
        <v>862</v>
      </c>
      <c r="G108" s="166" t="s">
        <v>60</v>
      </c>
      <c r="H108" s="166" t="s">
        <v>45</v>
      </c>
      <c r="I108" s="195" t="s">
        <v>230</v>
      </c>
      <c r="J108" s="250" t="s">
        <v>219</v>
      </c>
      <c r="K108" s="166"/>
      <c r="L108" s="283">
        <f t="shared" si="22"/>
        <v>4000</v>
      </c>
      <c r="M108" s="283">
        <f t="shared" si="22"/>
        <v>0</v>
      </c>
      <c r="N108" s="283">
        <f t="shared" si="22"/>
        <v>4000</v>
      </c>
      <c r="O108" s="283">
        <f t="shared" si="21"/>
        <v>4000</v>
      </c>
      <c r="P108" s="283">
        <f t="shared" si="21"/>
        <v>4000</v>
      </c>
      <c r="U108" s="300" t="s">
        <v>382</v>
      </c>
      <c r="V108" s="304">
        <f>75195+L62+L79+L86</f>
        <v>80500</v>
      </c>
      <c r="W108" s="304">
        <f>48195+O62+O79+O86</f>
        <v>53500</v>
      </c>
      <c r="X108" s="304">
        <f>11195+P62+P79+P86</f>
        <v>16500</v>
      </c>
    </row>
    <row r="109" spans="1:24" ht="17.25" customHeight="1" hidden="1">
      <c r="A109" s="173"/>
      <c r="B109" s="177" t="s">
        <v>59</v>
      </c>
      <c r="C109" s="53">
        <v>63</v>
      </c>
      <c r="D109" s="53">
        <v>0</v>
      </c>
      <c r="E109" s="53">
        <v>18</v>
      </c>
      <c r="F109" s="201">
        <v>862</v>
      </c>
      <c r="G109" s="166" t="s">
        <v>60</v>
      </c>
      <c r="H109" s="166" t="s">
        <v>45</v>
      </c>
      <c r="I109" s="195" t="s">
        <v>230</v>
      </c>
      <c r="J109" s="250" t="s">
        <v>219</v>
      </c>
      <c r="K109" s="166" t="s">
        <v>46</v>
      </c>
      <c r="L109" s="283">
        <f t="shared" si="22"/>
        <v>4000</v>
      </c>
      <c r="M109" s="283">
        <f t="shared" si="22"/>
        <v>0</v>
      </c>
      <c r="N109" s="283">
        <f t="shared" si="22"/>
        <v>4000</v>
      </c>
      <c r="O109" s="283">
        <f t="shared" si="21"/>
        <v>4000</v>
      </c>
      <c r="P109" s="283">
        <f t="shared" si="21"/>
        <v>4000</v>
      </c>
      <c r="U109" s="305" t="s">
        <v>385</v>
      </c>
      <c r="V109" s="306">
        <f>V95+V96+V106+V107+V108</f>
        <v>2713727.71</v>
      </c>
      <c r="W109" s="306">
        <f>W95+W96+W106+W107+W108</f>
        <v>900415</v>
      </c>
      <c r="X109" s="306">
        <f>X95+X96+X106+X107+X108</f>
        <v>958501</v>
      </c>
    </row>
    <row r="110" spans="1:16" ht="13.5" customHeight="1" hidden="1">
      <c r="A110" s="173"/>
      <c r="B110" s="178" t="s">
        <v>69</v>
      </c>
      <c r="C110" s="53">
        <v>63</v>
      </c>
      <c r="D110" s="53">
        <v>0</v>
      </c>
      <c r="E110" s="53">
        <v>18</v>
      </c>
      <c r="F110" s="201">
        <v>862</v>
      </c>
      <c r="G110" s="166" t="s">
        <v>60</v>
      </c>
      <c r="H110" s="166" t="s">
        <v>45</v>
      </c>
      <c r="I110" s="195" t="s">
        <v>230</v>
      </c>
      <c r="J110" s="250" t="s">
        <v>219</v>
      </c>
      <c r="K110" s="230" t="s">
        <v>32</v>
      </c>
      <c r="L110" s="283">
        <v>4000</v>
      </c>
      <c r="M110" s="283"/>
      <c r="N110" s="283">
        <f>L110+M110</f>
        <v>4000</v>
      </c>
      <c r="O110" s="283">
        <v>4000</v>
      </c>
      <c r="P110" s="284">
        <v>4000</v>
      </c>
    </row>
    <row r="111" spans="1:21" s="39" customFormat="1" ht="18" customHeight="1" hidden="1">
      <c r="A111" s="375" t="s">
        <v>34</v>
      </c>
      <c r="B111" s="376"/>
      <c r="C111" s="169">
        <v>70</v>
      </c>
      <c r="D111" s="169">
        <v>0</v>
      </c>
      <c r="E111" s="169"/>
      <c r="F111" s="205">
        <v>862</v>
      </c>
      <c r="G111" s="181" t="s">
        <v>35</v>
      </c>
      <c r="H111" s="181"/>
      <c r="I111" s="181"/>
      <c r="J111" s="253"/>
      <c r="K111" s="238"/>
      <c r="L111" s="287">
        <f aca="true" t="shared" si="23" ref="L111:N113">L112</f>
        <v>0</v>
      </c>
      <c r="M111" s="287">
        <f t="shared" si="23"/>
        <v>0</v>
      </c>
      <c r="N111" s="287">
        <f t="shared" si="23"/>
        <v>0</v>
      </c>
      <c r="O111" s="287">
        <f aca="true" t="shared" si="24" ref="O111:P113">O112</f>
        <v>37015</v>
      </c>
      <c r="P111" s="288">
        <f t="shared" si="24"/>
        <v>75500</v>
      </c>
      <c r="S111" s="273"/>
      <c r="T111" s="273"/>
      <c r="U111" s="273"/>
    </row>
    <row r="112" spans="1:19" ht="18" customHeight="1" hidden="1">
      <c r="A112" s="377" t="s">
        <v>34</v>
      </c>
      <c r="B112" s="378"/>
      <c r="C112" s="53">
        <v>70</v>
      </c>
      <c r="D112" s="53">
        <v>0</v>
      </c>
      <c r="E112" s="53"/>
      <c r="F112" s="201">
        <v>862</v>
      </c>
      <c r="G112" s="166" t="s">
        <v>35</v>
      </c>
      <c r="H112" s="166" t="s">
        <v>35</v>
      </c>
      <c r="I112" s="166"/>
      <c r="J112" s="230"/>
      <c r="K112" s="166"/>
      <c r="L112" s="283">
        <f t="shared" si="23"/>
        <v>0</v>
      </c>
      <c r="M112" s="283">
        <f t="shared" si="23"/>
        <v>0</v>
      </c>
      <c r="N112" s="283">
        <f t="shared" si="23"/>
        <v>0</v>
      </c>
      <c r="O112" s="283">
        <f t="shared" si="24"/>
        <v>37015</v>
      </c>
      <c r="P112" s="284">
        <f t="shared" si="24"/>
        <v>75500</v>
      </c>
      <c r="S112" s="269"/>
    </row>
    <row r="113" spans="1:22" ht="18" customHeight="1" hidden="1">
      <c r="A113" s="173"/>
      <c r="B113" s="198" t="s">
        <v>34</v>
      </c>
      <c r="C113" s="53">
        <v>70</v>
      </c>
      <c r="D113" s="53">
        <v>0</v>
      </c>
      <c r="E113" s="53"/>
      <c r="F113" s="201">
        <v>862</v>
      </c>
      <c r="G113" s="207">
        <v>99</v>
      </c>
      <c r="H113" s="166" t="s">
        <v>35</v>
      </c>
      <c r="I113" s="166" t="s">
        <v>101</v>
      </c>
      <c r="J113" s="268" t="s">
        <v>361</v>
      </c>
      <c r="K113" s="166"/>
      <c r="L113" s="283">
        <f t="shared" si="23"/>
        <v>0</v>
      </c>
      <c r="M113" s="283">
        <f t="shared" si="23"/>
        <v>0</v>
      </c>
      <c r="N113" s="283">
        <f t="shared" si="23"/>
        <v>0</v>
      </c>
      <c r="O113" s="283">
        <f t="shared" si="24"/>
        <v>37015</v>
      </c>
      <c r="P113" s="284">
        <f t="shared" si="24"/>
        <v>75500</v>
      </c>
      <c r="S113" s="295">
        <f>2602762-P115</f>
        <v>369212</v>
      </c>
      <c r="T113" s="289"/>
      <c r="U113" s="289"/>
      <c r="V113" s="289"/>
    </row>
    <row r="114" spans="1:22" ht="18" customHeight="1" hidden="1">
      <c r="A114" s="173"/>
      <c r="B114" s="198" t="s">
        <v>34</v>
      </c>
      <c r="C114" s="53">
        <v>70</v>
      </c>
      <c r="D114" s="53">
        <v>0</v>
      </c>
      <c r="E114" s="53"/>
      <c r="F114" s="201">
        <v>862</v>
      </c>
      <c r="G114" s="207">
        <v>99</v>
      </c>
      <c r="H114" s="166" t="s">
        <v>35</v>
      </c>
      <c r="I114" s="166" t="s">
        <v>101</v>
      </c>
      <c r="J114" s="268" t="s">
        <v>361</v>
      </c>
      <c r="K114" s="166" t="s">
        <v>362</v>
      </c>
      <c r="L114" s="283"/>
      <c r="M114" s="283"/>
      <c r="N114" s="283"/>
      <c r="O114" s="283">
        <v>37015</v>
      </c>
      <c r="P114" s="284">
        <v>75500</v>
      </c>
      <c r="S114" s="289"/>
      <c r="T114" s="289"/>
      <c r="U114" s="289">
        <v>2018</v>
      </c>
      <c r="V114" s="289">
        <v>2019</v>
      </c>
    </row>
    <row r="115" spans="1:22" ht="14.25" customHeight="1">
      <c r="A115" s="212"/>
      <c r="B115" s="218" t="s">
        <v>33</v>
      </c>
      <c r="C115" s="218"/>
      <c r="D115" s="218"/>
      <c r="E115" s="218"/>
      <c r="F115" s="201"/>
      <c r="G115" s="181"/>
      <c r="H115" s="181"/>
      <c r="I115" s="181"/>
      <c r="J115" s="250"/>
      <c r="K115" s="181"/>
      <c r="L115" s="282">
        <f>L16+L23+L25+L27+L30+L33+L37+L40+L44+L55+L56+L69+L74+L79+L86+L90+L93+L96+L110+L114+L98+L83+L52+L105</f>
        <v>5387226.71</v>
      </c>
      <c r="M115" s="282">
        <f>M12+M56+M63+M70+M75+M106+M105</f>
        <v>1294019</v>
      </c>
      <c r="N115" s="282">
        <f>N16+N23+N25+N27+N30+N33+N37+N40+N44+N55+N56+N69+N74+N79+N86+N90+N93+N96+N110+N114+N52+N83+N100+N105+N20</f>
        <v>6681245.71</v>
      </c>
      <c r="O115" s="282">
        <f>O16+O23+O25+O27+O30+O33+O37+O40+O44+O55+O56+O69+O74+O79+O86+O90+O93+O96+O110+O114</f>
        <v>2136979</v>
      </c>
      <c r="P115" s="282">
        <f>P16+P23+P25+P27+P30+P33+P37+P40+P44+P55+P56+P69+P74+P79+P86+P90+P93+P96+P110+P114</f>
        <v>2233550</v>
      </c>
      <c r="R115" s="269"/>
      <c r="S115" s="289"/>
      <c r="T115" s="289">
        <v>0</v>
      </c>
      <c r="U115" s="295">
        <f>L16+L23+L60</f>
        <v>1160895</v>
      </c>
      <c r="V115" s="295">
        <f>O16+O23+O60</f>
        <v>1160895</v>
      </c>
    </row>
    <row r="116" spans="12:22" ht="14.25">
      <c r="L116" s="219"/>
      <c r="M116" s="219"/>
      <c r="N116" s="219"/>
      <c r="O116" s="32"/>
      <c r="P116" s="32"/>
      <c r="S116" s="289"/>
      <c r="T116" s="289">
        <v>244</v>
      </c>
      <c r="U116" s="295">
        <f>L25+L30+L62+L69+L74+L79+L86+L90+L93+L96</f>
        <v>3028077.71</v>
      </c>
      <c r="V116" s="289"/>
    </row>
    <row r="117" spans="12:16" ht="14.25" hidden="1">
      <c r="L117" s="219">
        <f>L16+L23+L25+L27+L28+L31+L35+L38+L49+L56+L72+L76+L87+L106+L41+L63</f>
        <v>4761926.71</v>
      </c>
      <c r="M117" s="219"/>
      <c r="N117" s="219"/>
      <c r="O117" s="263">
        <v>2457390</v>
      </c>
      <c r="P117" s="263">
        <v>2602762</v>
      </c>
    </row>
    <row r="118" spans="12:16" ht="14.25" hidden="1">
      <c r="L118" s="219">
        <f>'[1]1. Дох.'!C46-'6.Вед.19-21 '!L115</f>
        <v>-2285147.3499999996</v>
      </c>
      <c r="M118" s="219"/>
      <c r="N118" s="219"/>
      <c r="O118" s="219">
        <f>'[1]1. Дох.'!D46-'6.Вед.19-21 '!O115</f>
        <v>1159999.9299999997</v>
      </c>
      <c r="P118" s="219">
        <f>'[1]1. Дох.'!E46-'6.Вед.19-21 '!P115</f>
        <v>1250948.67</v>
      </c>
    </row>
    <row r="119" spans="12:16" ht="14.25" hidden="1">
      <c r="L119" s="40"/>
      <c r="M119" s="40"/>
      <c r="N119" s="40"/>
      <c r="O119" s="32"/>
      <c r="P119" s="32"/>
    </row>
    <row r="120" spans="12:16" ht="14.25" hidden="1">
      <c r="L120" s="265">
        <f>2338267-L115</f>
        <v>-3048959.71</v>
      </c>
      <c r="M120" s="265"/>
      <c r="N120" s="265"/>
      <c r="O120" s="265">
        <f>O117-O115</f>
        <v>320411</v>
      </c>
      <c r="P120" s="265">
        <f>P117-P115</f>
        <v>369212</v>
      </c>
    </row>
    <row r="121" spans="12:16" ht="14.25" hidden="1">
      <c r="L121" s="40"/>
      <c r="M121" s="40"/>
      <c r="N121" s="40"/>
      <c r="O121" s="32"/>
      <c r="P121" s="32"/>
    </row>
    <row r="122" spans="10:16" ht="14.25" hidden="1">
      <c r="J122" s="254" t="s">
        <v>355</v>
      </c>
      <c r="L122" s="40" t="s">
        <v>354</v>
      </c>
      <c r="M122" s="40"/>
      <c r="N122" s="40"/>
      <c r="O122" s="32">
        <v>1369000</v>
      </c>
      <c r="P122" s="32">
        <v>1369000</v>
      </c>
    </row>
    <row r="123" spans="10:16" ht="14.25" hidden="1">
      <c r="J123" s="254" t="s">
        <v>356</v>
      </c>
      <c r="L123" s="264">
        <f>L122-L16-L23-L25-L26-L56</f>
        <v>-100299</v>
      </c>
      <c r="M123" s="264"/>
      <c r="N123" s="264"/>
      <c r="O123" s="264">
        <f>O122-O16-O23-O25-O26-O56</f>
        <v>-50949</v>
      </c>
      <c r="P123" s="264">
        <f>P122-P16-P23-P25-P26-P56</f>
        <v>-12449</v>
      </c>
    </row>
    <row r="124" spans="2:14" s="289" customFormat="1" ht="14.25">
      <c r="B124" s="290"/>
      <c r="C124" s="290"/>
      <c r="D124" s="290"/>
      <c r="E124" s="290"/>
      <c r="F124" s="291"/>
      <c r="G124" s="292"/>
      <c r="H124" s="292"/>
      <c r="I124" s="292"/>
      <c r="J124" s="314"/>
      <c r="K124" s="293"/>
      <c r="L124" s="293"/>
      <c r="M124" s="293"/>
      <c r="N124" s="293"/>
    </row>
    <row r="125" spans="2:17" s="289" customFormat="1" ht="14.25">
      <c r="B125" s="290" t="s">
        <v>375</v>
      </c>
      <c r="C125" s="290"/>
      <c r="D125" s="290"/>
      <c r="E125" s="290"/>
      <c r="F125" s="291"/>
      <c r="G125" s="292"/>
      <c r="H125" s="292"/>
      <c r="I125" s="292"/>
      <c r="J125" s="314"/>
      <c r="K125" s="293"/>
      <c r="L125" s="294">
        <f>L13+L21+L57</f>
        <v>1469299</v>
      </c>
      <c r="M125" s="294"/>
      <c r="N125" s="294"/>
      <c r="O125" s="294">
        <f>O13+O21+O57</f>
        <v>1419949</v>
      </c>
      <c r="P125" s="294">
        <f>P13+P21+P57</f>
        <v>1381449</v>
      </c>
      <c r="Q125" s="294">
        <f>Q13+Q21+Q57</f>
        <v>0</v>
      </c>
    </row>
    <row r="126" spans="2:17" s="289" customFormat="1" ht="14.25">
      <c r="B126" s="290"/>
      <c r="C126" s="290"/>
      <c r="D126" s="290"/>
      <c r="E126" s="290"/>
      <c r="F126" s="291"/>
      <c r="G126" s="292"/>
      <c r="H126" s="292"/>
      <c r="I126" s="292"/>
      <c r="J126" s="314"/>
      <c r="K126" s="293"/>
      <c r="L126" s="294">
        <f>(L13+L17)/(L115-L127)*100</f>
        <v>36.00801092025703</v>
      </c>
      <c r="M126" s="294"/>
      <c r="N126" s="294"/>
      <c r="O126" s="294">
        <f>(O13+O17)/(O115-O127)*100</f>
        <v>88.11467694181793</v>
      </c>
      <c r="P126" s="294">
        <f>(P13+P17)/(P115-P127)*100</f>
        <v>84.04094148795002</v>
      </c>
      <c r="Q126" s="294" t="e">
        <f>(Q13+Q17)/(Q115-Q127)*100</f>
        <v>#DIV/0!</v>
      </c>
    </row>
    <row r="127" spans="2:16" s="289" customFormat="1" ht="14.25">
      <c r="B127" s="290" t="s">
        <v>376</v>
      </c>
      <c r="C127" s="290"/>
      <c r="D127" s="290"/>
      <c r="E127" s="290"/>
      <c r="F127" s="291"/>
      <c r="G127" s="292"/>
      <c r="H127" s="292"/>
      <c r="I127" s="292"/>
      <c r="J127" s="314"/>
      <c r="K127" s="293"/>
      <c r="L127" s="294">
        <f>L57+L70+L76+L80</f>
        <v>1482556.71</v>
      </c>
      <c r="M127" s="294"/>
      <c r="N127" s="294"/>
      <c r="O127" s="294">
        <f>O57+O70+O76+O80</f>
        <v>601884</v>
      </c>
      <c r="P127" s="294">
        <f>P57+P70+P76+P80</f>
        <v>669855</v>
      </c>
    </row>
    <row r="128" spans="2:16" s="289" customFormat="1" ht="14.25">
      <c r="B128" s="290"/>
      <c r="C128" s="290"/>
      <c r="D128" s="290"/>
      <c r="E128" s="290"/>
      <c r="F128" s="291"/>
      <c r="G128" s="292"/>
      <c r="H128" s="292"/>
      <c r="I128" s="292"/>
      <c r="J128" s="314"/>
      <c r="K128" s="293"/>
      <c r="L128" s="294"/>
      <c r="M128" s="294"/>
      <c r="N128" s="294"/>
      <c r="O128" s="295">
        <f>O114/(O115-O127)*100</f>
        <v>2.411251420921832</v>
      </c>
      <c r="P128" s="295">
        <f>P114/(P115-P127)*100</f>
        <v>4.828307310568877</v>
      </c>
    </row>
    <row r="129" spans="2:16" s="289" customFormat="1" ht="14.25">
      <c r="B129" s="290"/>
      <c r="C129" s="290"/>
      <c r="D129" s="290"/>
      <c r="E129" s="290"/>
      <c r="F129" s="291"/>
      <c r="G129" s="292"/>
      <c r="H129" s="292"/>
      <c r="I129" s="292"/>
      <c r="J129" s="314"/>
      <c r="K129" s="293"/>
      <c r="L129" s="294"/>
      <c r="M129" s="294"/>
      <c r="N129" s="294"/>
      <c r="O129" s="295"/>
      <c r="P129" s="295"/>
    </row>
    <row r="130" spans="2:17" s="289" customFormat="1" ht="14.25">
      <c r="B130" s="290"/>
      <c r="C130" s="290"/>
      <c r="D130" s="290"/>
      <c r="E130" s="290"/>
      <c r="F130" s="291"/>
      <c r="G130" s="292"/>
      <c r="H130" s="292"/>
      <c r="I130" s="292"/>
      <c r="J130" s="314"/>
      <c r="K130" s="293"/>
      <c r="L130" s="294">
        <f>L16+L23+L25+L27+L30+L33+L37+L40+L44+L55+L60+L62+L69+L74+L79+L86+L90+L93+L96+L110+L114</f>
        <v>4234226.71</v>
      </c>
      <c r="M130" s="294"/>
      <c r="N130" s="294"/>
      <c r="O130" s="294">
        <f>O16+O23+O25+O27+O30+O33+O37+O40+O44+O55+O60+O62+O69+O74+O79+O86+O90+O93+O96+O110+O114</f>
        <v>2136979</v>
      </c>
      <c r="P130" s="294">
        <f>P16+P23+P25+P27+P30+P33+P37+P40+P44+P55+P60+P62+P69+P74+P79+P86+P90+P93+P96+P110+P114</f>
        <v>2233550</v>
      </c>
      <c r="Q130" s="294">
        <f>Q16+Q23+Q25+Q27+Q30+Q33+Q37+Q40+Q44+Q55+Q60+Q62+Q69+Q74+Q79+Q86+Q90+Q93+Q96+Q110+Q114</f>
        <v>0</v>
      </c>
    </row>
    <row r="131" spans="2:16" s="289" customFormat="1" ht="14.25">
      <c r="B131" s="290"/>
      <c r="C131" s="290"/>
      <c r="D131" s="290"/>
      <c r="E131" s="290"/>
      <c r="F131" s="291"/>
      <c r="G131" s="292"/>
      <c r="H131" s="292"/>
      <c r="I131" s="292"/>
      <c r="J131" s="314"/>
      <c r="K131" s="293"/>
      <c r="L131" s="294"/>
      <c r="M131" s="294"/>
      <c r="N131" s="294"/>
      <c r="O131" s="295"/>
      <c r="P131" s="295"/>
    </row>
    <row r="132" spans="11:16" ht="14.25">
      <c r="K132" s="293"/>
      <c r="L132" s="294"/>
      <c r="M132" s="294"/>
      <c r="N132" s="294"/>
      <c r="O132" s="295"/>
      <c r="P132" s="295"/>
    </row>
    <row r="133" spans="11:16" ht="14.25">
      <c r="K133" s="293" t="s">
        <v>24</v>
      </c>
      <c r="L133" s="294">
        <f>L16+L23+L60</f>
        <v>1160895</v>
      </c>
      <c r="M133" s="294"/>
      <c r="N133" s="294"/>
      <c r="O133" s="294">
        <f>O16+O23+O60</f>
        <v>1160895</v>
      </c>
      <c r="P133" s="294">
        <f>P16+P23+P60</f>
        <v>1160895</v>
      </c>
    </row>
    <row r="134" spans="11:16" ht="14.25">
      <c r="K134" s="293" t="s">
        <v>26</v>
      </c>
      <c r="L134" s="294">
        <f>L25+L30+L62+L69+L74+L79+L86+L90+L93+L96</f>
        <v>3028077.71</v>
      </c>
      <c r="M134" s="294"/>
      <c r="N134" s="294"/>
      <c r="O134" s="294">
        <f>O25+O30+O62+O69+O74+O79+O86+O90+O93+O96</f>
        <v>900415</v>
      </c>
      <c r="P134" s="294">
        <f>P25+P30+P62+P69+P74+P79+P86+P90+P93+P96</f>
        <v>958501</v>
      </c>
    </row>
    <row r="135" spans="11:16" ht="14.25">
      <c r="K135" s="293" t="s">
        <v>386</v>
      </c>
      <c r="L135" s="294"/>
      <c r="M135" s="294"/>
      <c r="N135" s="294"/>
      <c r="O135" s="295"/>
      <c r="P135" s="295"/>
    </row>
    <row r="136" spans="11:16" ht="14.25">
      <c r="K136" s="293" t="s">
        <v>32</v>
      </c>
      <c r="L136" s="294">
        <f>L37+L40+L55+L110</f>
        <v>7800</v>
      </c>
      <c r="M136" s="294"/>
      <c r="N136" s="294"/>
      <c r="O136" s="294">
        <f>O37+O40+O55+O110</f>
        <v>7800</v>
      </c>
      <c r="P136" s="294">
        <f>P37+P40+P55+P110</f>
        <v>7800</v>
      </c>
    </row>
    <row r="137" spans="11:16" ht="14.25">
      <c r="K137" s="293" t="s">
        <v>387</v>
      </c>
      <c r="L137" s="294"/>
      <c r="M137" s="294"/>
      <c r="N137" s="294"/>
      <c r="O137" s="295"/>
      <c r="P137" s="295"/>
    </row>
    <row r="138" spans="11:16" ht="14.25">
      <c r="K138" s="293" t="s">
        <v>388</v>
      </c>
      <c r="L138" s="294"/>
      <c r="M138" s="294"/>
      <c r="N138" s="294"/>
      <c r="O138" s="295"/>
      <c r="P138" s="295"/>
    </row>
    <row r="139" spans="11:16" ht="14.25">
      <c r="K139" s="293" t="s">
        <v>196</v>
      </c>
      <c r="L139" s="294">
        <f>L27+L33</f>
        <v>30854</v>
      </c>
      <c r="M139" s="294"/>
      <c r="N139" s="294"/>
      <c r="O139" s="294">
        <f>O27+O33</f>
        <v>30854</v>
      </c>
      <c r="P139" s="294">
        <f>P27+P33</f>
        <v>30854</v>
      </c>
    </row>
    <row r="140" spans="11:16" ht="14.25">
      <c r="K140" s="293" t="s">
        <v>350</v>
      </c>
      <c r="L140" s="294">
        <f>L41</f>
        <v>6600</v>
      </c>
      <c r="M140" s="294"/>
      <c r="N140" s="294"/>
      <c r="O140" s="295"/>
      <c r="P140" s="295"/>
    </row>
    <row r="141" spans="11:16" ht="14.25">
      <c r="K141" s="293" t="s">
        <v>389</v>
      </c>
      <c r="L141" s="294">
        <f>L114</f>
        <v>0</v>
      </c>
      <c r="M141" s="294"/>
      <c r="N141" s="294"/>
      <c r="O141" s="294">
        <f>O114</f>
        <v>37015</v>
      </c>
      <c r="P141" s="294">
        <f>P114</f>
        <v>75500</v>
      </c>
    </row>
    <row r="142" spans="11:16" ht="14.25">
      <c r="K142" s="293"/>
      <c r="L142" s="294"/>
      <c r="M142" s="294"/>
      <c r="N142" s="294"/>
      <c r="O142" s="295"/>
      <c r="P142" s="295"/>
    </row>
    <row r="143" spans="11:16" ht="14.25">
      <c r="K143" s="293"/>
      <c r="L143" s="294">
        <f>L115-L133-L134-L136-L139-L140-L141</f>
        <v>1153000</v>
      </c>
      <c r="M143" s="294"/>
      <c r="N143" s="294"/>
      <c r="O143" s="294">
        <f>O115-O133-O134-O136-O139-O140-O141</f>
        <v>0</v>
      </c>
      <c r="P143" s="294">
        <f>P115-P133-P134-P136-P139-P140-P141</f>
        <v>0</v>
      </c>
    </row>
    <row r="144" spans="12:16" ht="14.25">
      <c r="L144" s="307"/>
      <c r="M144" s="307"/>
      <c r="N144" s="307"/>
      <c r="O144" s="269"/>
      <c r="P144" s="269"/>
    </row>
    <row r="145" spans="12:16" ht="14.25">
      <c r="L145" s="307"/>
      <c r="M145" s="307"/>
      <c r="N145" s="307"/>
      <c r="O145" s="269"/>
      <c r="P145" s="269"/>
    </row>
    <row r="146" spans="12:16" ht="14.25">
      <c r="L146" s="307"/>
      <c r="M146" s="307"/>
      <c r="N146" s="307"/>
      <c r="O146" s="269"/>
      <c r="P146" s="269"/>
    </row>
    <row r="147" spans="12:16" ht="14.25">
      <c r="L147" s="307"/>
      <c r="M147" s="307"/>
      <c r="N147" s="307"/>
      <c r="O147" s="269"/>
      <c r="P147" s="269"/>
    </row>
    <row r="148" spans="12:16" ht="14.25">
      <c r="L148" s="307"/>
      <c r="M148" s="307"/>
      <c r="N148" s="307"/>
      <c r="O148" s="269"/>
      <c r="P148" s="269"/>
    </row>
    <row r="149" spans="12:16" ht="14.25">
      <c r="L149" s="307"/>
      <c r="M149" s="307"/>
      <c r="N149" s="307"/>
      <c r="O149" s="269"/>
      <c r="P149" s="269"/>
    </row>
    <row r="150" spans="12:16" ht="14.25">
      <c r="L150" s="307"/>
      <c r="M150" s="307"/>
      <c r="N150" s="307"/>
      <c r="O150" s="269"/>
      <c r="P150" s="269"/>
    </row>
    <row r="151" spans="12:16" ht="14.25">
      <c r="L151" s="307"/>
      <c r="M151" s="307"/>
      <c r="N151" s="307"/>
      <c r="O151" s="269"/>
      <c r="P151" s="269"/>
    </row>
    <row r="152" spans="12:16" ht="14.25">
      <c r="L152" s="307"/>
      <c r="M152" s="307"/>
      <c r="N152" s="307"/>
      <c r="O152" s="269"/>
      <c r="P152" s="269"/>
    </row>
    <row r="153" spans="12:16" ht="14.25">
      <c r="L153" s="307"/>
      <c r="M153" s="307"/>
      <c r="N153" s="307"/>
      <c r="O153" s="269"/>
      <c r="P153" s="269"/>
    </row>
    <row r="154" spans="12:16" ht="14.25">
      <c r="L154" s="307"/>
      <c r="M154" s="307"/>
      <c r="N154" s="307"/>
      <c r="O154" s="269"/>
      <c r="P154" s="269"/>
    </row>
    <row r="155" spans="12:16" ht="14.25">
      <c r="L155" s="307"/>
      <c r="M155" s="307"/>
      <c r="N155" s="307"/>
      <c r="O155" s="269"/>
      <c r="P155" s="269"/>
    </row>
    <row r="156" spans="12:16" ht="14.25">
      <c r="L156" s="307"/>
      <c r="M156" s="307"/>
      <c r="N156" s="307"/>
      <c r="O156" s="269"/>
      <c r="P156" s="269"/>
    </row>
    <row r="157" spans="12:16" ht="14.25">
      <c r="L157" s="307"/>
      <c r="M157" s="307"/>
      <c r="N157" s="307"/>
      <c r="O157" s="269"/>
      <c r="P157" s="269"/>
    </row>
    <row r="158" spans="12:16" ht="14.25">
      <c r="L158" s="307"/>
      <c r="M158" s="307"/>
      <c r="N158" s="307"/>
      <c r="O158" s="269"/>
      <c r="P158" s="269"/>
    </row>
    <row r="159" spans="12:16" ht="14.25">
      <c r="L159" s="307"/>
      <c r="M159" s="307"/>
      <c r="N159" s="307"/>
      <c r="O159" s="269"/>
      <c r="P159" s="269"/>
    </row>
    <row r="160" spans="12:16" ht="14.25">
      <c r="L160" s="40"/>
      <c r="M160" s="40"/>
      <c r="N160" s="40"/>
      <c r="O160" s="32"/>
      <c r="P160" s="32"/>
    </row>
    <row r="161" spans="12:16" ht="14.25">
      <c r="L161" s="40"/>
      <c r="M161" s="40"/>
      <c r="N161" s="40"/>
      <c r="O161" s="32"/>
      <c r="P161" s="32"/>
    </row>
    <row r="162" spans="12:16" ht="14.25">
      <c r="L162" s="40"/>
      <c r="M162" s="40"/>
      <c r="N162" s="40"/>
      <c r="O162" s="32"/>
      <c r="P162" s="32"/>
    </row>
    <row r="163" spans="12:16" ht="14.25">
      <c r="L163" s="40"/>
      <c r="M163" s="40"/>
      <c r="N163" s="40"/>
      <c r="O163" s="32"/>
      <c r="P163" s="32"/>
    </row>
    <row r="164" spans="12:16" ht="14.25">
      <c r="L164" s="40"/>
      <c r="M164" s="40"/>
      <c r="N164" s="40"/>
      <c r="O164" s="32"/>
      <c r="P164" s="32"/>
    </row>
    <row r="165" spans="12:16" ht="14.25">
      <c r="L165" s="40"/>
      <c r="M165" s="40"/>
      <c r="N165" s="40"/>
      <c r="O165" s="32"/>
      <c r="P165" s="32"/>
    </row>
    <row r="166" spans="12:16" ht="14.25">
      <c r="L166" s="40"/>
      <c r="M166" s="40"/>
      <c r="N166" s="40"/>
      <c r="O166" s="32"/>
      <c r="P166" s="32"/>
    </row>
    <row r="167" spans="12:16" ht="14.25">
      <c r="L167" s="40"/>
      <c r="M167" s="40"/>
      <c r="N167" s="40"/>
      <c r="O167" s="32"/>
      <c r="P167" s="32"/>
    </row>
    <row r="168" spans="12:16" ht="14.25">
      <c r="L168" s="40"/>
      <c r="M168" s="40"/>
      <c r="N168" s="40"/>
      <c r="O168" s="32"/>
      <c r="P168" s="32"/>
    </row>
    <row r="169" spans="12:16" ht="14.25">
      <c r="L169" s="40"/>
      <c r="M169" s="40"/>
      <c r="N169" s="40"/>
      <c r="O169" s="32"/>
      <c r="P169" s="32"/>
    </row>
    <row r="170" spans="12:16" ht="14.25">
      <c r="L170" s="40"/>
      <c r="M170" s="40"/>
      <c r="N170" s="40"/>
      <c r="O170" s="32"/>
      <c r="P170" s="32"/>
    </row>
    <row r="171" spans="12:16" ht="14.25">
      <c r="L171" s="40"/>
      <c r="M171" s="40"/>
      <c r="N171" s="40"/>
      <c r="O171" s="32"/>
      <c r="P171" s="32"/>
    </row>
    <row r="172" spans="12:16" ht="14.25">
      <c r="L172" s="40"/>
      <c r="M172" s="40"/>
      <c r="N172" s="40"/>
      <c r="O172" s="32"/>
      <c r="P172" s="32"/>
    </row>
    <row r="173" spans="12:16" ht="14.25">
      <c r="L173" s="40"/>
      <c r="M173" s="40"/>
      <c r="N173" s="40"/>
      <c r="O173" s="32"/>
      <c r="P173" s="32"/>
    </row>
    <row r="174" spans="12:16" ht="14.25">
      <c r="L174" s="40"/>
      <c r="M174" s="40"/>
      <c r="N174" s="40"/>
      <c r="O174" s="32"/>
      <c r="P174" s="32"/>
    </row>
    <row r="175" spans="12:16" ht="14.25">
      <c r="L175" s="40"/>
      <c r="M175" s="40"/>
      <c r="N175" s="40"/>
      <c r="O175" s="32"/>
      <c r="P175" s="32"/>
    </row>
    <row r="176" spans="12:16" ht="14.25">
      <c r="L176" s="40"/>
      <c r="M176" s="40"/>
      <c r="N176" s="40"/>
      <c r="O176" s="32"/>
      <c r="P176" s="32"/>
    </row>
    <row r="177" spans="12:16" ht="14.25">
      <c r="L177" s="40"/>
      <c r="M177" s="40"/>
      <c r="N177" s="40"/>
      <c r="O177" s="32"/>
      <c r="P177" s="32"/>
    </row>
    <row r="178" spans="12:16" ht="14.25">
      <c r="L178" s="40"/>
      <c r="M178" s="40"/>
      <c r="N178" s="40"/>
      <c r="O178" s="32"/>
      <c r="P178" s="32"/>
    </row>
    <row r="179" spans="12:16" ht="14.25">
      <c r="L179" s="40"/>
      <c r="M179" s="40"/>
      <c r="N179" s="40"/>
      <c r="O179" s="32"/>
      <c r="P179" s="32"/>
    </row>
    <row r="180" spans="12:16" ht="14.25">
      <c r="L180" s="40"/>
      <c r="M180" s="40"/>
      <c r="N180" s="40"/>
      <c r="O180" s="32"/>
      <c r="P180" s="32"/>
    </row>
    <row r="181" spans="12:16" ht="14.25">
      <c r="L181" s="40"/>
      <c r="M181" s="40"/>
      <c r="N181" s="40"/>
      <c r="O181" s="32"/>
      <c r="P181" s="32"/>
    </row>
    <row r="182" spans="12:16" ht="14.25">
      <c r="L182" s="40"/>
      <c r="M182" s="40"/>
      <c r="N182" s="40"/>
      <c r="O182" s="32"/>
      <c r="P182" s="32"/>
    </row>
    <row r="183" spans="12:16" ht="14.25">
      <c r="L183" s="40"/>
      <c r="M183" s="40"/>
      <c r="N183" s="40"/>
      <c r="O183" s="32"/>
      <c r="P183" s="32"/>
    </row>
    <row r="184" spans="12:16" ht="14.25">
      <c r="L184" s="40"/>
      <c r="M184" s="40"/>
      <c r="N184" s="40"/>
      <c r="O184" s="32"/>
      <c r="P184" s="32"/>
    </row>
    <row r="185" spans="12:16" ht="14.25">
      <c r="L185" s="40"/>
      <c r="M185" s="40"/>
      <c r="N185" s="40"/>
      <c r="O185" s="32"/>
      <c r="P185" s="32"/>
    </row>
    <row r="186" spans="12:16" ht="14.25">
      <c r="L186" s="40"/>
      <c r="M186" s="40"/>
      <c r="N186" s="40"/>
      <c r="O186" s="32"/>
      <c r="P186" s="32"/>
    </row>
    <row r="187" spans="12:16" ht="14.25">
      <c r="L187" s="40"/>
      <c r="M187" s="40"/>
      <c r="N187" s="40"/>
      <c r="O187" s="32"/>
      <c r="P187" s="32"/>
    </row>
    <row r="188" spans="12:16" ht="14.25">
      <c r="L188" s="40"/>
      <c r="M188" s="40"/>
      <c r="N188" s="40"/>
      <c r="O188" s="32"/>
      <c r="P188" s="32"/>
    </row>
    <row r="189" spans="12:16" ht="14.25">
      <c r="L189" s="40"/>
      <c r="M189" s="40"/>
      <c r="N189" s="40"/>
      <c r="O189" s="32"/>
      <c r="P189" s="32"/>
    </row>
    <row r="190" spans="12:16" ht="14.25">
      <c r="L190" s="40"/>
      <c r="M190" s="40"/>
      <c r="N190" s="40"/>
      <c r="O190" s="32"/>
      <c r="P190" s="32"/>
    </row>
    <row r="191" spans="12:16" ht="14.25">
      <c r="L191" s="40"/>
      <c r="M191" s="40"/>
      <c r="N191" s="40"/>
      <c r="O191" s="32"/>
      <c r="P191" s="32"/>
    </row>
    <row r="192" spans="12:16" ht="14.25">
      <c r="L192" s="40"/>
      <c r="M192" s="40"/>
      <c r="N192" s="40"/>
      <c r="O192" s="32"/>
      <c r="P192" s="32"/>
    </row>
    <row r="193" spans="12:16" ht="14.25">
      <c r="L193" s="40"/>
      <c r="M193" s="40"/>
      <c r="N193" s="40"/>
      <c r="O193" s="32"/>
      <c r="P193" s="32"/>
    </row>
    <row r="194" spans="12:16" ht="14.25">
      <c r="L194" s="40"/>
      <c r="M194" s="40"/>
      <c r="N194" s="40"/>
      <c r="O194" s="32"/>
      <c r="P194" s="32"/>
    </row>
    <row r="195" spans="12:16" ht="14.25">
      <c r="L195" s="40"/>
      <c r="M195" s="40"/>
      <c r="N195" s="40"/>
      <c r="O195" s="32"/>
      <c r="P195" s="32"/>
    </row>
    <row r="196" spans="12:16" ht="14.25">
      <c r="L196" s="40"/>
      <c r="M196" s="40"/>
      <c r="N196" s="40"/>
      <c r="O196" s="32"/>
      <c r="P196" s="32"/>
    </row>
    <row r="197" spans="12:16" ht="14.25">
      <c r="L197" s="40"/>
      <c r="M197" s="40"/>
      <c r="N197" s="40"/>
      <c r="O197" s="32"/>
      <c r="P197" s="32"/>
    </row>
    <row r="198" spans="12:16" ht="14.25">
      <c r="L198" s="40"/>
      <c r="M198" s="40"/>
      <c r="N198" s="40"/>
      <c r="O198" s="32"/>
      <c r="P198" s="32"/>
    </row>
    <row r="199" spans="12:16" ht="14.25">
      <c r="L199" s="40"/>
      <c r="M199" s="40"/>
      <c r="N199" s="40"/>
      <c r="O199" s="32"/>
      <c r="P199" s="32"/>
    </row>
    <row r="200" spans="12:16" ht="14.25">
      <c r="L200" s="40"/>
      <c r="M200" s="40"/>
      <c r="N200" s="40"/>
      <c r="O200" s="32"/>
      <c r="P200" s="32"/>
    </row>
    <row r="201" spans="12:16" ht="14.25">
      <c r="L201" s="40"/>
      <c r="M201" s="40"/>
      <c r="N201" s="40"/>
      <c r="O201" s="32"/>
      <c r="P201" s="32"/>
    </row>
    <row r="202" spans="12:16" ht="14.25">
      <c r="L202" s="40"/>
      <c r="M202" s="40"/>
      <c r="N202" s="40"/>
      <c r="O202" s="32"/>
      <c r="P202" s="32"/>
    </row>
    <row r="203" spans="12:16" ht="14.25">
      <c r="L203" s="40"/>
      <c r="M203" s="40"/>
      <c r="N203" s="40"/>
      <c r="O203" s="32"/>
      <c r="P203" s="32"/>
    </row>
    <row r="204" spans="12:16" ht="14.25">
      <c r="L204" s="40"/>
      <c r="M204" s="40"/>
      <c r="N204" s="40"/>
      <c r="O204" s="32"/>
      <c r="P204" s="32"/>
    </row>
    <row r="205" spans="12:16" ht="14.25">
      <c r="L205" s="40"/>
      <c r="M205" s="40"/>
      <c r="N205" s="40"/>
      <c r="O205" s="32"/>
      <c r="P205" s="32"/>
    </row>
    <row r="206" spans="12:16" ht="14.25">
      <c r="L206" s="40"/>
      <c r="M206" s="40"/>
      <c r="N206" s="40"/>
      <c r="O206" s="32"/>
      <c r="P206" s="32"/>
    </row>
    <row r="207" spans="12:16" ht="14.25">
      <c r="L207" s="40"/>
      <c r="M207" s="40"/>
      <c r="N207" s="40"/>
      <c r="O207" s="32"/>
      <c r="P207" s="32"/>
    </row>
    <row r="208" spans="12:16" ht="14.25">
      <c r="L208" s="40"/>
      <c r="M208" s="40"/>
      <c r="N208" s="40"/>
      <c r="O208" s="32"/>
      <c r="P208" s="32"/>
    </row>
  </sheetData>
  <sheetProtection/>
  <mergeCells count="31">
    <mergeCell ref="F6:N6"/>
    <mergeCell ref="B98:C98"/>
    <mergeCell ref="F2:P2"/>
    <mergeCell ref="F3:L3"/>
    <mergeCell ref="F4:N4"/>
    <mergeCell ref="A9:B9"/>
    <mergeCell ref="A12:B12"/>
    <mergeCell ref="F5:L5"/>
    <mergeCell ref="A7:Q7"/>
    <mergeCell ref="A13:B13"/>
    <mergeCell ref="A17:B17"/>
    <mergeCell ref="A21:B21"/>
    <mergeCell ref="A45:B45"/>
    <mergeCell ref="A46:B46"/>
    <mergeCell ref="A49:B49"/>
    <mergeCell ref="A53:B53"/>
    <mergeCell ref="A70:B70"/>
    <mergeCell ref="A71:B71"/>
    <mergeCell ref="A72:B72"/>
    <mergeCell ref="A75:B75"/>
    <mergeCell ref="A76:B76"/>
    <mergeCell ref="A107:B107"/>
    <mergeCell ref="A108:B108"/>
    <mergeCell ref="A111:B111"/>
    <mergeCell ref="A112:B112"/>
    <mergeCell ref="A106:B106"/>
    <mergeCell ref="A77:B77"/>
    <mergeCell ref="A87:B87"/>
    <mergeCell ref="A88:B88"/>
    <mergeCell ref="A94:B94"/>
    <mergeCell ref="B80:C80"/>
  </mergeCells>
  <printOptions/>
  <pageMargins left="0.7480314960629921" right="0.5118110236220472" top="0.31496062992125984" bottom="0.31496062992125984" header="0.6692913385826772" footer="0.5511811023622047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153"/>
  <sheetViews>
    <sheetView zoomScalePageLayoutView="0" workbookViewId="0" topLeftCell="B3">
      <selection activeCell="N10" sqref="N10"/>
    </sheetView>
  </sheetViews>
  <sheetFormatPr defaultColWidth="9.140625" defaultRowHeight="12.75"/>
  <cols>
    <col min="1" max="1" width="2.421875" style="32" hidden="1" customWidth="1"/>
    <col min="2" max="2" width="42.8515625" style="33" customWidth="1"/>
    <col min="3" max="3" width="4.8515625" style="33" hidden="1" customWidth="1"/>
    <col min="4" max="5" width="6.28125" style="33" hidden="1" customWidth="1"/>
    <col min="6" max="6" width="3.8515625" style="161" hidden="1" customWidth="1"/>
    <col min="7" max="7" width="3.57421875" style="239" customWidth="1"/>
    <col min="8" max="8" width="3.7109375" style="239" customWidth="1"/>
    <col min="9" max="9" width="6.57421875" style="239" hidden="1" customWidth="1"/>
    <col min="10" max="10" width="12.7109375" style="254" customWidth="1"/>
    <col min="11" max="11" width="4.00390625" style="40" customWidth="1"/>
    <col min="12" max="13" width="12.140625" style="40" hidden="1" customWidth="1"/>
    <col min="14" max="14" width="12.140625" style="40" customWidth="1"/>
    <col min="15" max="16" width="12.140625" style="32" hidden="1" customWidth="1"/>
    <col min="17" max="17" width="0.2890625" style="32" customWidth="1"/>
    <col min="18" max="18" width="9.140625" style="32" customWidth="1"/>
    <col min="19" max="16384" width="9.140625" style="32" customWidth="1"/>
  </cols>
  <sheetData>
    <row r="1" spans="6:14" ht="12.75" hidden="1">
      <c r="F1" s="213" t="s">
        <v>83</v>
      </c>
      <c r="G1" s="3"/>
      <c r="H1" s="3"/>
      <c r="I1" s="3"/>
      <c r="J1" s="245"/>
      <c r="K1" s="3"/>
      <c r="L1" s="3"/>
      <c r="M1" s="3"/>
      <c r="N1" s="3"/>
    </row>
    <row r="2" spans="6:16" ht="55.5" customHeight="1" hidden="1">
      <c r="F2" s="395" t="s">
        <v>180</v>
      </c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6:16" ht="13.5" customHeight="1">
      <c r="F3" s="403" t="s">
        <v>240</v>
      </c>
      <c r="G3" s="403"/>
      <c r="H3" s="403"/>
      <c r="I3" s="403"/>
      <c r="J3" s="403"/>
      <c r="K3" s="403"/>
      <c r="L3" s="403"/>
      <c r="M3" s="42"/>
      <c r="N3" s="42"/>
      <c r="O3" s="42"/>
      <c r="P3" s="42"/>
    </row>
    <row r="4" spans="6:19" ht="29.25" customHeight="1">
      <c r="F4" s="397" t="s">
        <v>409</v>
      </c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116"/>
      <c r="R4" s="116"/>
      <c r="S4" s="116"/>
    </row>
    <row r="5" spans="6:19" ht="18" customHeight="1">
      <c r="F5" s="309"/>
      <c r="G5" s="401" t="s">
        <v>433</v>
      </c>
      <c r="H5" s="401"/>
      <c r="I5" s="401"/>
      <c r="J5" s="401"/>
      <c r="K5" s="401"/>
      <c r="L5" s="401"/>
      <c r="M5" s="401"/>
      <c r="N5" s="401"/>
      <c r="O5" s="401"/>
      <c r="P5" s="309"/>
      <c r="Q5" s="116"/>
      <c r="R5" s="116"/>
      <c r="S5" s="116"/>
    </row>
    <row r="6" spans="6:19" ht="38.25" customHeight="1">
      <c r="F6" s="309"/>
      <c r="G6" s="394" t="s">
        <v>393</v>
      </c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116"/>
      <c r="S6" s="116"/>
    </row>
    <row r="7" spans="6:16" ht="9" customHeight="1">
      <c r="F7" s="220"/>
      <c r="G7" s="43"/>
      <c r="H7" s="43"/>
      <c r="I7" s="43"/>
      <c r="J7" s="246"/>
      <c r="K7" s="43"/>
      <c r="L7" s="43"/>
      <c r="M7" s="43"/>
      <c r="N7" s="43"/>
      <c r="O7" s="43"/>
      <c r="P7" s="43"/>
    </row>
    <row r="8" spans="1:17" ht="48.75" customHeight="1">
      <c r="A8" s="402" t="s">
        <v>404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</row>
    <row r="9" spans="1:16" ht="15" customHeight="1">
      <c r="A9" s="34"/>
      <c r="B9" s="34"/>
      <c r="C9" s="37"/>
      <c r="D9" s="37"/>
      <c r="E9" s="37"/>
      <c r="G9" s="34"/>
      <c r="H9" s="34"/>
      <c r="I9" s="34"/>
      <c r="J9" s="247"/>
      <c r="K9" s="34"/>
      <c r="N9" s="221" t="s">
        <v>292</v>
      </c>
      <c r="O9" s="34"/>
      <c r="P9" s="221" t="s">
        <v>292</v>
      </c>
    </row>
    <row r="10" spans="1:16" s="45" customFormat="1" ht="24" customHeight="1">
      <c r="A10" s="398" t="s">
        <v>38</v>
      </c>
      <c r="B10" s="399"/>
      <c r="C10" s="44" t="s">
        <v>84</v>
      </c>
      <c r="D10" s="44" t="s">
        <v>85</v>
      </c>
      <c r="E10" s="44" t="s">
        <v>319</v>
      </c>
      <c r="F10" s="222" t="s">
        <v>86</v>
      </c>
      <c r="G10" s="223" t="s">
        <v>39</v>
      </c>
      <c r="H10" s="223" t="s">
        <v>40</v>
      </c>
      <c r="I10" s="223" t="s">
        <v>87</v>
      </c>
      <c r="J10" s="223" t="s">
        <v>41</v>
      </c>
      <c r="K10" s="163" t="s">
        <v>42</v>
      </c>
      <c r="L10" s="279" t="s">
        <v>395</v>
      </c>
      <c r="M10" s="279" t="s">
        <v>396</v>
      </c>
      <c r="N10" s="279" t="s">
        <v>437</v>
      </c>
      <c r="O10" s="44">
        <v>2020</v>
      </c>
      <c r="P10" s="44">
        <v>2021</v>
      </c>
    </row>
    <row r="11" spans="1:16" s="45" customFormat="1" ht="19.5" customHeight="1" hidden="1">
      <c r="A11" s="44"/>
      <c r="B11" s="214" t="s">
        <v>88</v>
      </c>
      <c r="C11" s="224">
        <v>63</v>
      </c>
      <c r="D11" s="44"/>
      <c r="E11" s="44"/>
      <c r="F11" s="225"/>
      <c r="G11" s="163"/>
      <c r="H11" s="163"/>
      <c r="I11" s="163"/>
      <c r="J11" s="223"/>
      <c r="K11" s="163"/>
      <c r="L11" s="47">
        <f>L12</f>
        <v>5387226.71</v>
      </c>
      <c r="M11" s="47">
        <f>M12</f>
        <v>1294018.9999999998</v>
      </c>
      <c r="N11" s="47">
        <f>N12</f>
        <v>6681245.71</v>
      </c>
      <c r="O11" s="47">
        <f>O12</f>
        <v>2136979</v>
      </c>
      <c r="P11" s="47">
        <f>P12</f>
        <v>2233550</v>
      </c>
    </row>
    <row r="12" spans="1:16" s="45" customFormat="1" ht="17.25" customHeight="1">
      <c r="A12" s="53"/>
      <c r="B12" s="215" t="s">
        <v>199</v>
      </c>
      <c r="C12" s="169">
        <v>63</v>
      </c>
      <c r="D12" s="169">
        <v>0</v>
      </c>
      <c r="E12" s="169">
        <v>11</v>
      </c>
      <c r="F12" s="226">
        <v>862</v>
      </c>
      <c r="G12" s="166"/>
      <c r="H12" s="166"/>
      <c r="I12" s="166"/>
      <c r="J12" s="230"/>
      <c r="K12" s="166"/>
      <c r="L12" s="89">
        <f>L116</f>
        <v>5387226.71</v>
      </c>
      <c r="M12" s="89">
        <f>M116</f>
        <v>1294018.9999999998</v>
      </c>
      <c r="N12" s="89">
        <f>N116</f>
        <v>6681245.71</v>
      </c>
      <c r="O12" s="89">
        <f>O116</f>
        <v>2136979</v>
      </c>
      <c r="P12" s="89">
        <f>P116</f>
        <v>2233550</v>
      </c>
    </row>
    <row r="13" spans="1:16" s="35" customFormat="1" ht="15.75" customHeight="1">
      <c r="A13" s="379" t="s">
        <v>43</v>
      </c>
      <c r="B13" s="380"/>
      <c r="C13" s="169">
        <v>63</v>
      </c>
      <c r="D13" s="169">
        <v>0</v>
      </c>
      <c r="E13" s="169">
        <v>11</v>
      </c>
      <c r="F13" s="205">
        <v>862</v>
      </c>
      <c r="G13" s="181" t="s">
        <v>44</v>
      </c>
      <c r="H13" s="227"/>
      <c r="I13" s="227"/>
      <c r="J13" s="248"/>
      <c r="K13" s="227"/>
      <c r="L13" s="88">
        <f>L18+L46+L50+L14+L35+L42</f>
        <v>1494394</v>
      </c>
      <c r="M13" s="88">
        <f>M18+M46+M50+M14+M35+M42</f>
        <v>49919.000000000015</v>
      </c>
      <c r="N13" s="88">
        <f>N18+N46+N50+N14+N35+N42</f>
        <v>1421524.6099999999</v>
      </c>
      <c r="O13" s="88">
        <f>O18+O46+O50+O14+O35+O42</f>
        <v>1356444</v>
      </c>
      <c r="P13" s="88">
        <f>P18+P46+P50+P14+P35+P42</f>
        <v>1317944</v>
      </c>
    </row>
    <row r="14" spans="1:16" ht="37.5" customHeight="1">
      <c r="A14" s="383" t="s">
        <v>64</v>
      </c>
      <c r="B14" s="384"/>
      <c r="C14" s="169">
        <v>63</v>
      </c>
      <c r="D14" s="169">
        <v>0</v>
      </c>
      <c r="E14" s="169">
        <v>11</v>
      </c>
      <c r="F14" s="205">
        <v>862</v>
      </c>
      <c r="G14" s="191" t="s">
        <v>44</v>
      </c>
      <c r="H14" s="191" t="s">
        <v>45</v>
      </c>
      <c r="I14" s="191"/>
      <c r="J14" s="249"/>
      <c r="K14" s="166"/>
      <c r="L14" s="87">
        <f>L15</f>
        <v>447300</v>
      </c>
      <c r="M14" s="87">
        <f>M15</f>
        <v>-103869.39</v>
      </c>
      <c r="N14" s="87">
        <f>N15</f>
        <v>343430.61</v>
      </c>
      <c r="O14" s="87">
        <f>O15</f>
        <v>447300</v>
      </c>
      <c r="P14" s="87">
        <f>P15</f>
        <v>447300</v>
      </c>
    </row>
    <row r="15" spans="1:16" ht="27.75" customHeight="1">
      <c r="A15" s="56" t="s">
        <v>90</v>
      </c>
      <c r="B15" s="171" t="s">
        <v>206</v>
      </c>
      <c r="C15" s="53">
        <v>63</v>
      </c>
      <c r="D15" s="53">
        <v>0</v>
      </c>
      <c r="E15" s="53">
        <v>11</v>
      </c>
      <c r="F15" s="201">
        <v>862</v>
      </c>
      <c r="G15" s="195" t="s">
        <v>44</v>
      </c>
      <c r="H15" s="195" t="s">
        <v>45</v>
      </c>
      <c r="I15" s="195" t="s">
        <v>320</v>
      </c>
      <c r="J15" s="250" t="s">
        <v>205</v>
      </c>
      <c r="K15" s="229" t="s">
        <v>91</v>
      </c>
      <c r="L15" s="87">
        <f aca="true" t="shared" si="0" ref="L15:P16">L16</f>
        <v>447300</v>
      </c>
      <c r="M15" s="87">
        <f t="shared" si="0"/>
        <v>-103869.39</v>
      </c>
      <c r="N15" s="87">
        <f t="shared" si="0"/>
        <v>343430.61</v>
      </c>
      <c r="O15" s="87">
        <f t="shared" si="0"/>
        <v>447300</v>
      </c>
      <c r="P15" s="87">
        <f t="shared" si="0"/>
        <v>447300</v>
      </c>
    </row>
    <row r="16" spans="1:16" ht="62.25" customHeight="1">
      <c r="A16" s="48" t="s">
        <v>89</v>
      </c>
      <c r="B16" s="48" t="s">
        <v>89</v>
      </c>
      <c r="C16" s="53">
        <v>63</v>
      </c>
      <c r="D16" s="53">
        <v>0</v>
      </c>
      <c r="E16" s="53">
        <v>11</v>
      </c>
      <c r="F16" s="201">
        <v>862</v>
      </c>
      <c r="G16" s="195" t="s">
        <v>44</v>
      </c>
      <c r="H16" s="195" t="s">
        <v>45</v>
      </c>
      <c r="I16" s="195" t="s">
        <v>320</v>
      </c>
      <c r="J16" s="250" t="s">
        <v>205</v>
      </c>
      <c r="K16" s="228" t="s">
        <v>23</v>
      </c>
      <c r="L16" s="87">
        <f t="shared" si="0"/>
        <v>447300</v>
      </c>
      <c r="M16" s="87">
        <f t="shared" si="0"/>
        <v>-103869.39</v>
      </c>
      <c r="N16" s="87">
        <f t="shared" si="0"/>
        <v>343430.61</v>
      </c>
      <c r="O16" s="87">
        <f t="shared" si="0"/>
        <v>447300</v>
      </c>
      <c r="P16" s="87">
        <f t="shared" si="0"/>
        <v>447300</v>
      </c>
    </row>
    <row r="17" spans="1:16" ht="28.5" customHeight="1">
      <c r="A17" s="48" t="s">
        <v>92</v>
      </c>
      <c r="B17" s="48" t="s">
        <v>92</v>
      </c>
      <c r="C17" s="53">
        <v>63</v>
      </c>
      <c r="D17" s="53">
        <v>0</v>
      </c>
      <c r="E17" s="53">
        <v>11</v>
      </c>
      <c r="F17" s="201">
        <v>862</v>
      </c>
      <c r="G17" s="166" t="s">
        <v>44</v>
      </c>
      <c r="H17" s="166" t="s">
        <v>45</v>
      </c>
      <c r="I17" s="195" t="s">
        <v>320</v>
      </c>
      <c r="J17" s="250" t="s">
        <v>205</v>
      </c>
      <c r="K17" s="228" t="s">
        <v>24</v>
      </c>
      <c r="L17" s="87">
        <f>'6.Вед.19-21 '!L16</f>
        <v>447300</v>
      </c>
      <c r="M17" s="87">
        <f>'6.Вед.19-21 '!M16</f>
        <v>-103869.39</v>
      </c>
      <c r="N17" s="87">
        <f>'6.Вед.19-21 '!N16</f>
        <v>343430.61</v>
      </c>
      <c r="O17" s="87">
        <f>'6.Вед.19-21 '!O16</f>
        <v>447300</v>
      </c>
      <c r="P17" s="87">
        <f>'6.Вед.19-21 '!P16</f>
        <v>447300</v>
      </c>
    </row>
    <row r="18" spans="1:16" s="36" customFormat="1" ht="26.25" customHeight="1">
      <c r="A18" s="379" t="s">
        <v>48</v>
      </c>
      <c r="B18" s="380"/>
      <c r="C18" s="169">
        <v>63</v>
      </c>
      <c r="D18" s="169">
        <v>0</v>
      </c>
      <c r="E18" s="169">
        <v>11</v>
      </c>
      <c r="F18" s="205">
        <v>862</v>
      </c>
      <c r="G18" s="181" t="s">
        <v>44</v>
      </c>
      <c r="H18" s="181" t="s">
        <v>49</v>
      </c>
      <c r="I18" s="181"/>
      <c r="J18" s="183"/>
      <c r="K18" s="181"/>
      <c r="L18" s="88">
        <f>L22+L29+L32</f>
        <v>958694</v>
      </c>
      <c r="M18" s="88">
        <f>M22+M29+M32+M19</f>
        <v>127788.39</v>
      </c>
      <c r="N18" s="88">
        <f>N22+N29+N32</f>
        <v>963694</v>
      </c>
      <c r="O18" s="88">
        <f>O22+O29+O32</f>
        <v>905344</v>
      </c>
      <c r="P18" s="88">
        <f>P22+P29+P32</f>
        <v>866844</v>
      </c>
    </row>
    <row r="19" spans="1:16" s="36" customFormat="1" ht="53.25" customHeight="1">
      <c r="A19" s="160"/>
      <c r="B19" s="330" t="s">
        <v>435</v>
      </c>
      <c r="C19" s="169"/>
      <c r="D19" s="169"/>
      <c r="E19" s="169"/>
      <c r="F19" s="205"/>
      <c r="G19" s="166" t="s">
        <v>44</v>
      </c>
      <c r="H19" s="166" t="s">
        <v>49</v>
      </c>
      <c r="I19" s="195" t="s">
        <v>223</v>
      </c>
      <c r="J19" s="250" t="s">
        <v>434</v>
      </c>
      <c r="K19" s="181"/>
      <c r="L19" s="88"/>
      <c r="M19" s="87">
        <f>M20</f>
        <v>122788.39</v>
      </c>
      <c r="N19" s="87">
        <f>L19+M19</f>
        <v>122788.39</v>
      </c>
      <c r="O19" s="88"/>
      <c r="P19" s="88"/>
    </row>
    <row r="20" spans="1:16" s="36" customFormat="1" ht="26.25" customHeight="1">
      <c r="A20" s="160"/>
      <c r="B20" s="48" t="s">
        <v>89</v>
      </c>
      <c r="C20" s="169"/>
      <c r="D20" s="169"/>
      <c r="E20" s="169"/>
      <c r="F20" s="205"/>
      <c r="G20" s="166" t="s">
        <v>44</v>
      </c>
      <c r="H20" s="166" t="s">
        <v>49</v>
      </c>
      <c r="I20" s="195" t="s">
        <v>223</v>
      </c>
      <c r="J20" s="250" t="s">
        <v>434</v>
      </c>
      <c r="K20" s="166" t="s">
        <v>23</v>
      </c>
      <c r="L20" s="88"/>
      <c r="M20" s="87">
        <f>M21</f>
        <v>122788.39</v>
      </c>
      <c r="N20" s="87">
        <f>L20+M20</f>
        <v>122788.39</v>
      </c>
      <c r="O20" s="88"/>
      <c r="P20" s="88"/>
    </row>
    <row r="21" spans="1:16" s="36" customFormat="1" ht="26.25" customHeight="1">
      <c r="A21" s="160"/>
      <c r="B21" s="48" t="s">
        <v>92</v>
      </c>
      <c r="C21" s="169"/>
      <c r="D21" s="169"/>
      <c r="E21" s="169"/>
      <c r="F21" s="205"/>
      <c r="G21" s="166" t="s">
        <v>44</v>
      </c>
      <c r="H21" s="166" t="s">
        <v>49</v>
      </c>
      <c r="I21" s="195" t="s">
        <v>223</v>
      </c>
      <c r="J21" s="250" t="s">
        <v>434</v>
      </c>
      <c r="K21" s="166" t="s">
        <v>24</v>
      </c>
      <c r="L21" s="88"/>
      <c r="M21" s="87">
        <v>122788.39</v>
      </c>
      <c r="N21" s="87">
        <f>L21+M21</f>
        <v>122788.39</v>
      </c>
      <c r="O21" s="88"/>
      <c r="P21" s="88"/>
    </row>
    <row r="22" spans="1:16" ht="27.75" customHeight="1" hidden="1">
      <c r="A22" s="392" t="s">
        <v>93</v>
      </c>
      <c r="B22" s="393"/>
      <c r="C22" s="53">
        <v>63</v>
      </c>
      <c r="D22" s="53">
        <v>0</v>
      </c>
      <c r="E22" s="53">
        <v>11</v>
      </c>
      <c r="F22" s="201">
        <v>862</v>
      </c>
      <c r="G22" s="166" t="s">
        <v>44</v>
      </c>
      <c r="H22" s="166" t="s">
        <v>49</v>
      </c>
      <c r="I22" s="195" t="s">
        <v>223</v>
      </c>
      <c r="J22" s="250" t="s">
        <v>207</v>
      </c>
      <c r="K22" s="166"/>
      <c r="L22" s="87">
        <f>L23+L25+L27</f>
        <v>942694</v>
      </c>
      <c r="M22" s="87">
        <f>M23+M25+M27</f>
        <v>0</v>
      </c>
      <c r="N22" s="87">
        <f>N23+N25+N27</f>
        <v>942694</v>
      </c>
      <c r="O22" s="87">
        <f>O23+O25+O27</f>
        <v>893344</v>
      </c>
      <c r="P22" s="87">
        <f>P23+P25+P27</f>
        <v>854844</v>
      </c>
    </row>
    <row r="23" spans="1:16" ht="63" customHeight="1" hidden="1">
      <c r="A23" s="171"/>
      <c r="B23" s="48" t="s">
        <v>89</v>
      </c>
      <c r="C23" s="53">
        <v>63</v>
      </c>
      <c r="D23" s="53">
        <v>0</v>
      </c>
      <c r="E23" s="53">
        <v>11</v>
      </c>
      <c r="F23" s="201">
        <v>862</v>
      </c>
      <c r="G23" s="195" t="s">
        <v>44</v>
      </c>
      <c r="H23" s="195" t="s">
        <v>49</v>
      </c>
      <c r="I23" s="195" t="s">
        <v>223</v>
      </c>
      <c r="J23" s="250" t="s">
        <v>207</v>
      </c>
      <c r="K23" s="166" t="s">
        <v>23</v>
      </c>
      <c r="L23" s="87">
        <f>L24</f>
        <v>638995</v>
      </c>
      <c r="M23" s="87">
        <f>M24</f>
        <v>0</v>
      </c>
      <c r="N23" s="87">
        <f>N24</f>
        <v>638995</v>
      </c>
      <c r="O23" s="87">
        <f>O24</f>
        <v>638995</v>
      </c>
      <c r="P23" s="172">
        <f>P24</f>
        <v>638995</v>
      </c>
    </row>
    <row r="24" spans="1:16" ht="27" customHeight="1" hidden="1">
      <c r="A24" s="173"/>
      <c r="B24" s="48" t="s">
        <v>92</v>
      </c>
      <c r="C24" s="53">
        <v>63</v>
      </c>
      <c r="D24" s="53">
        <v>0</v>
      </c>
      <c r="E24" s="53">
        <v>11</v>
      </c>
      <c r="F24" s="201">
        <v>862</v>
      </c>
      <c r="G24" s="166" t="s">
        <v>44</v>
      </c>
      <c r="H24" s="166" t="s">
        <v>49</v>
      </c>
      <c r="I24" s="195" t="s">
        <v>223</v>
      </c>
      <c r="J24" s="250" t="s">
        <v>207</v>
      </c>
      <c r="K24" s="166" t="s">
        <v>24</v>
      </c>
      <c r="L24" s="87">
        <f>'6.Вед.19-21 '!L23</f>
        <v>638995</v>
      </c>
      <c r="M24" s="87">
        <f>'6.Вед.19-21 '!M23</f>
        <v>0</v>
      </c>
      <c r="N24" s="87">
        <f>'6.Вед.19-21 '!N23</f>
        <v>638995</v>
      </c>
      <c r="O24" s="87">
        <f>'6.Вед.19-21 '!O23</f>
        <v>638995</v>
      </c>
      <c r="P24" s="87">
        <f>'6.Вед.19-21 '!P23</f>
        <v>638995</v>
      </c>
    </row>
    <row r="25" spans="1:16" ht="27" customHeight="1" hidden="1">
      <c r="A25" s="173"/>
      <c r="B25" s="70" t="s">
        <v>197</v>
      </c>
      <c r="C25" s="53">
        <v>63</v>
      </c>
      <c r="D25" s="53">
        <v>0</v>
      </c>
      <c r="E25" s="53">
        <v>11</v>
      </c>
      <c r="F25" s="201">
        <v>862</v>
      </c>
      <c r="G25" s="230" t="s">
        <v>44</v>
      </c>
      <c r="H25" s="230" t="s">
        <v>49</v>
      </c>
      <c r="I25" s="195" t="s">
        <v>223</v>
      </c>
      <c r="J25" s="250" t="s">
        <v>207</v>
      </c>
      <c r="K25" s="230" t="s">
        <v>25</v>
      </c>
      <c r="L25" s="87">
        <f>L26</f>
        <v>277845</v>
      </c>
      <c r="M25" s="87">
        <f>M26</f>
        <v>0</v>
      </c>
      <c r="N25" s="87">
        <f>N26</f>
        <v>277845</v>
      </c>
      <c r="O25" s="87">
        <f>O26</f>
        <v>228495</v>
      </c>
      <c r="P25" s="87">
        <f>P26</f>
        <v>189995</v>
      </c>
    </row>
    <row r="26" spans="1:16" ht="27" customHeight="1" hidden="1">
      <c r="A26" s="173"/>
      <c r="B26" s="174" t="s">
        <v>94</v>
      </c>
      <c r="C26" s="53">
        <v>63</v>
      </c>
      <c r="D26" s="53">
        <v>0</v>
      </c>
      <c r="E26" s="53">
        <v>11</v>
      </c>
      <c r="F26" s="201">
        <v>862</v>
      </c>
      <c r="G26" s="230" t="s">
        <v>44</v>
      </c>
      <c r="H26" s="230" t="s">
        <v>49</v>
      </c>
      <c r="I26" s="195" t="s">
        <v>223</v>
      </c>
      <c r="J26" s="250" t="s">
        <v>207</v>
      </c>
      <c r="K26" s="230" t="s">
        <v>26</v>
      </c>
      <c r="L26" s="87">
        <f>'6.Вед.19-21 '!L25</f>
        <v>277845</v>
      </c>
      <c r="M26" s="87">
        <f>'6.Вед.19-21 '!M25</f>
        <v>0</v>
      </c>
      <c r="N26" s="87">
        <f>'6.Вед.19-21 '!N25</f>
        <v>277845</v>
      </c>
      <c r="O26" s="87">
        <f>'6.Вед.19-21 '!O25</f>
        <v>228495</v>
      </c>
      <c r="P26" s="87">
        <f>'6.Вед.19-21 '!P25</f>
        <v>189995</v>
      </c>
    </row>
    <row r="27" spans="1:16" ht="15.75" customHeight="1" hidden="1">
      <c r="A27" s="173"/>
      <c r="B27" s="231" t="s">
        <v>27</v>
      </c>
      <c r="C27" s="53">
        <v>63</v>
      </c>
      <c r="D27" s="53">
        <v>0</v>
      </c>
      <c r="E27" s="53">
        <v>11</v>
      </c>
      <c r="F27" s="201">
        <v>862</v>
      </c>
      <c r="G27" s="166" t="s">
        <v>44</v>
      </c>
      <c r="H27" s="166" t="s">
        <v>49</v>
      </c>
      <c r="I27" s="195" t="s">
        <v>223</v>
      </c>
      <c r="J27" s="250" t="s">
        <v>207</v>
      </c>
      <c r="K27" s="166" t="s">
        <v>28</v>
      </c>
      <c r="L27" s="87">
        <f>L28</f>
        <v>25854</v>
      </c>
      <c r="M27" s="87">
        <f>M28</f>
        <v>0</v>
      </c>
      <c r="N27" s="87">
        <f>N28</f>
        <v>25854</v>
      </c>
      <c r="O27" s="87">
        <f>O28</f>
        <v>25854</v>
      </c>
      <c r="P27" s="87">
        <f>P28</f>
        <v>25854</v>
      </c>
    </row>
    <row r="28" spans="1:16" ht="15.75" customHeight="1" hidden="1">
      <c r="A28" s="173"/>
      <c r="B28" s="175" t="s">
        <v>195</v>
      </c>
      <c r="C28" s="53">
        <v>63</v>
      </c>
      <c r="D28" s="53">
        <v>0</v>
      </c>
      <c r="E28" s="53">
        <v>11</v>
      </c>
      <c r="F28" s="201">
        <v>862</v>
      </c>
      <c r="G28" s="166" t="s">
        <v>44</v>
      </c>
      <c r="H28" s="166" t="s">
        <v>49</v>
      </c>
      <c r="I28" s="195" t="s">
        <v>223</v>
      </c>
      <c r="J28" s="250" t="s">
        <v>207</v>
      </c>
      <c r="K28" s="166" t="s">
        <v>196</v>
      </c>
      <c r="L28" s="87">
        <f>'6.Вед.19-21 '!L27</f>
        <v>25854</v>
      </c>
      <c r="M28" s="87">
        <f>'6.Вед.19-21 '!M27</f>
        <v>0</v>
      </c>
      <c r="N28" s="87">
        <f>'6.Вед.19-21 '!N27</f>
        <v>25854</v>
      </c>
      <c r="O28" s="87">
        <f>'6.Вед.19-21 '!O27</f>
        <v>25854</v>
      </c>
      <c r="P28" s="87">
        <f>'6.Вед.19-21 '!P27</f>
        <v>25854</v>
      </c>
    </row>
    <row r="29" spans="1:16" ht="27.75" customHeight="1">
      <c r="A29" s="173"/>
      <c r="B29" s="258" t="s">
        <v>341</v>
      </c>
      <c r="C29" s="53"/>
      <c r="D29" s="53"/>
      <c r="E29" s="53"/>
      <c r="F29" s="201">
        <v>862</v>
      </c>
      <c r="G29" s="166" t="s">
        <v>44</v>
      </c>
      <c r="H29" s="166" t="s">
        <v>49</v>
      </c>
      <c r="I29" s="195"/>
      <c r="J29" s="250" t="s">
        <v>342</v>
      </c>
      <c r="K29" s="166"/>
      <c r="L29" s="87">
        <f aca="true" t="shared" si="1" ref="L29:P30">L30</f>
        <v>11000</v>
      </c>
      <c r="M29" s="87">
        <f t="shared" si="1"/>
        <v>5000</v>
      </c>
      <c r="N29" s="87">
        <f t="shared" si="1"/>
        <v>16000</v>
      </c>
      <c r="O29" s="87">
        <f t="shared" si="1"/>
        <v>7000</v>
      </c>
      <c r="P29" s="87">
        <f t="shared" si="1"/>
        <v>7000</v>
      </c>
    </row>
    <row r="30" spans="1:16" ht="24" customHeight="1">
      <c r="A30" s="173"/>
      <c r="B30" s="70" t="s">
        <v>197</v>
      </c>
      <c r="C30" s="53"/>
      <c r="D30" s="53"/>
      <c r="E30" s="53"/>
      <c r="F30" s="201">
        <v>862</v>
      </c>
      <c r="G30" s="166" t="s">
        <v>44</v>
      </c>
      <c r="H30" s="166" t="s">
        <v>49</v>
      </c>
      <c r="I30" s="195"/>
      <c r="J30" s="250" t="s">
        <v>342</v>
      </c>
      <c r="K30" s="166" t="s">
        <v>25</v>
      </c>
      <c r="L30" s="87">
        <f t="shared" si="1"/>
        <v>11000</v>
      </c>
      <c r="M30" s="87">
        <f t="shared" si="1"/>
        <v>5000</v>
      </c>
      <c r="N30" s="87">
        <f t="shared" si="1"/>
        <v>16000</v>
      </c>
      <c r="O30" s="87">
        <f t="shared" si="1"/>
        <v>7000</v>
      </c>
      <c r="P30" s="87">
        <f t="shared" si="1"/>
        <v>7000</v>
      </c>
    </row>
    <row r="31" spans="1:16" ht="25.5" customHeight="1">
      <c r="A31" s="173"/>
      <c r="B31" s="174" t="s">
        <v>94</v>
      </c>
      <c r="C31" s="53"/>
      <c r="D31" s="53"/>
      <c r="E31" s="53"/>
      <c r="F31" s="201">
        <v>862</v>
      </c>
      <c r="G31" s="166" t="s">
        <v>44</v>
      </c>
      <c r="H31" s="166" t="s">
        <v>49</v>
      </c>
      <c r="I31" s="195"/>
      <c r="J31" s="250" t="s">
        <v>342</v>
      </c>
      <c r="K31" s="166" t="s">
        <v>26</v>
      </c>
      <c r="L31" s="87">
        <f>'6.Вед.19-21 '!L30</f>
        <v>11000</v>
      </c>
      <c r="M31" s="87">
        <f>'6.Вед.19-21 '!M30</f>
        <v>5000</v>
      </c>
      <c r="N31" s="87">
        <f>'6.Вед.19-21 '!N30</f>
        <v>16000</v>
      </c>
      <c r="O31" s="87">
        <f>'6.Вед.19-21 '!O30</f>
        <v>7000</v>
      </c>
      <c r="P31" s="87">
        <f>'6.Вед.19-21 '!P30</f>
        <v>7000</v>
      </c>
    </row>
    <row r="32" spans="1:16" ht="15.75" customHeight="1" hidden="1">
      <c r="A32" s="173"/>
      <c r="B32" s="231" t="s">
        <v>295</v>
      </c>
      <c r="C32" s="53">
        <v>63</v>
      </c>
      <c r="D32" s="53">
        <v>0</v>
      </c>
      <c r="E32" s="53">
        <v>11</v>
      </c>
      <c r="F32" s="201">
        <v>862</v>
      </c>
      <c r="G32" s="166" t="s">
        <v>44</v>
      </c>
      <c r="H32" s="166" t="s">
        <v>49</v>
      </c>
      <c r="I32" s="195" t="s">
        <v>223</v>
      </c>
      <c r="J32" s="250" t="s">
        <v>321</v>
      </c>
      <c r="K32" s="166"/>
      <c r="L32" s="87">
        <f aca="true" t="shared" si="2" ref="L32:P33">L33</f>
        <v>5000</v>
      </c>
      <c r="M32" s="87">
        <f t="shared" si="2"/>
        <v>0</v>
      </c>
      <c r="N32" s="87">
        <f t="shared" si="2"/>
        <v>5000</v>
      </c>
      <c r="O32" s="87">
        <f t="shared" si="2"/>
        <v>5000</v>
      </c>
      <c r="P32" s="87">
        <f t="shared" si="2"/>
        <v>5000</v>
      </c>
    </row>
    <row r="33" spans="1:16" ht="15.75" customHeight="1" hidden="1">
      <c r="A33" s="173"/>
      <c r="B33" s="231" t="s">
        <v>27</v>
      </c>
      <c r="C33" s="53">
        <v>63</v>
      </c>
      <c r="D33" s="53">
        <v>0</v>
      </c>
      <c r="E33" s="53">
        <v>11</v>
      </c>
      <c r="F33" s="201">
        <v>862</v>
      </c>
      <c r="G33" s="166" t="s">
        <v>44</v>
      </c>
      <c r="H33" s="166" t="s">
        <v>49</v>
      </c>
      <c r="I33" s="195" t="s">
        <v>223</v>
      </c>
      <c r="J33" s="250" t="s">
        <v>321</v>
      </c>
      <c r="K33" s="166" t="s">
        <v>28</v>
      </c>
      <c r="L33" s="87">
        <f t="shared" si="2"/>
        <v>5000</v>
      </c>
      <c r="M33" s="87">
        <f t="shared" si="2"/>
        <v>0</v>
      </c>
      <c r="N33" s="87">
        <f t="shared" si="2"/>
        <v>5000</v>
      </c>
      <c r="O33" s="87">
        <f t="shared" si="2"/>
        <v>5000</v>
      </c>
      <c r="P33" s="87">
        <f t="shared" si="2"/>
        <v>5000</v>
      </c>
    </row>
    <row r="34" spans="1:16" ht="15.75" customHeight="1" hidden="1">
      <c r="A34" s="173"/>
      <c r="B34" s="175" t="s">
        <v>195</v>
      </c>
      <c r="C34" s="53">
        <v>63</v>
      </c>
      <c r="D34" s="53">
        <v>0</v>
      </c>
      <c r="E34" s="53">
        <v>11</v>
      </c>
      <c r="F34" s="201">
        <v>862</v>
      </c>
      <c r="G34" s="166" t="s">
        <v>44</v>
      </c>
      <c r="H34" s="166" t="s">
        <v>49</v>
      </c>
      <c r="I34" s="195" t="s">
        <v>223</v>
      </c>
      <c r="J34" s="250" t="s">
        <v>321</v>
      </c>
      <c r="K34" s="166" t="s">
        <v>196</v>
      </c>
      <c r="L34" s="87">
        <f>'6.Вед.19-21 '!L33</f>
        <v>5000</v>
      </c>
      <c r="M34" s="87">
        <f>'6.Вед.19-21 '!M33</f>
        <v>0</v>
      </c>
      <c r="N34" s="87">
        <f>'6.Вед.19-21 '!N33</f>
        <v>5000</v>
      </c>
      <c r="O34" s="87">
        <f>'6.Вед.19-21 '!O33</f>
        <v>5000</v>
      </c>
      <c r="P34" s="87">
        <f>'6.Вед.19-21 '!P33</f>
        <v>5000</v>
      </c>
    </row>
    <row r="35" spans="1:16" s="36" customFormat="1" ht="36.75" customHeight="1" hidden="1">
      <c r="A35" s="232" t="s">
        <v>95</v>
      </c>
      <c r="B35" s="232" t="s">
        <v>95</v>
      </c>
      <c r="C35" s="169">
        <v>63</v>
      </c>
      <c r="D35" s="169">
        <v>0</v>
      </c>
      <c r="E35" s="169">
        <v>11</v>
      </c>
      <c r="F35" s="205">
        <v>862</v>
      </c>
      <c r="G35" s="181" t="s">
        <v>44</v>
      </c>
      <c r="H35" s="181" t="s">
        <v>29</v>
      </c>
      <c r="I35" s="181"/>
      <c r="J35" s="183"/>
      <c r="K35" s="181"/>
      <c r="L35" s="88">
        <f>L36+L39</f>
        <v>3300</v>
      </c>
      <c r="M35" s="88">
        <f>M36+M39</f>
        <v>0</v>
      </c>
      <c r="N35" s="88">
        <f>N36+N39</f>
        <v>3300</v>
      </c>
      <c r="O35" s="88">
        <f>O36+O39</f>
        <v>3300</v>
      </c>
      <c r="P35" s="88">
        <f>P36+P39</f>
        <v>3300</v>
      </c>
    </row>
    <row r="36" spans="1:16" s="36" customFormat="1" ht="66" customHeight="1" hidden="1">
      <c r="A36" s="56" t="s">
        <v>96</v>
      </c>
      <c r="B36" s="176" t="s">
        <v>210</v>
      </c>
      <c r="C36" s="53">
        <v>63</v>
      </c>
      <c r="D36" s="53">
        <v>0</v>
      </c>
      <c r="E36" s="53">
        <v>11</v>
      </c>
      <c r="F36" s="201">
        <v>862</v>
      </c>
      <c r="G36" s="166" t="s">
        <v>44</v>
      </c>
      <c r="H36" s="166" t="s">
        <v>29</v>
      </c>
      <c r="I36" s="195" t="s">
        <v>224</v>
      </c>
      <c r="J36" s="250" t="s">
        <v>208</v>
      </c>
      <c r="K36" s="166"/>
      <c r="L36" s="87">
        <f aca="true" t="shared" si="3" ref="L36:P37">L37</f>
        <v>3000</v>
      </c>
      <c r="M36" s="87">
        <f t="shared" si="3"/>
        <v>0</v>
      </c>
      <c r="N36" s="87">
        <f t="shared" si="3"/>
        <v>3000</v>
      </c>
      <c r="O36" s="87">
        <f t="shared" si="3"/>
        <v>3000</v>
      </c>
      <c r="P36" s="87">
        <f t="shared" si="3"/>
        <v>3000</v>
      </c>
    </row>
    <row r="37" spans="1:16" ht="14.25" customHeight="1" hidden="1">
      <c r="A37" s="173"/>
      <c r="B37" s="177" t="s">
        <v>59</v>
      </c>
      <c r="C37" s="53">
        <v>63</v>
      </c>
      <c r="D37" s="53">
        <v>0</v>
      </c>
      <c r="E37" s="53">
        <v>11</v>
      </c>
      <c r="F37" s="201">
        <v>862</v>
      </c>
      <c r="G37" s="166" t="s">
        <v>44</v>
      </c>
      <c r="H37" s="210" t="s">
        <v>29</v>
      </c>
      <c r="I37" s="195" t="s">
        <v>224</v>
      </c>
      <c r="J37" s="250" t="s">
        <v>208</v>
      </c>
      <c r="K37" s="166" t="s">
        <v>46</v>
      </c>
      <c r="L37" s="87">
        <f t="shared" si="3"/>
        <v>3000</v>
      </c>
      <c r="M37" s="87">
        <f t="shared" si="3"/>
        <v>0</v>
      </c>
      <c r="N37" s="87">
        <f t="shared" si="3"/>
        <v>3000</v>
      </c>
      <c r="O37" s="87">
        <f t="shared" si="3"/>
        <v>3000</v>
      </c>
      <c r="P37" s="87">
        <f t="shared" si="3"/>
        <v>3000</v>
      </c>
    </row>
    <row r="38" spans="1:16" ht="16.5" customHeight="1" hidden="1">
      <c r="A38" s="173"/>
      <c r="B38" s="178" t="s">
        <v>69</v>
      </c>
      <c r="C38" s="53">
        <v>63</v>
      </c>
      <c r="D38" s="53">
        <v>0</v>
      </c>
      <c r="E38" s="53">
        <v>11</v>
      </c>
      <c r="F38" s="201">
        <v>862</v>
      </c>
      <c r="G38" s="166" t="s">
        <v>44</v>
      </c>
      <c r="H38" s="210" t="s">
        <v>29</v>
      </c>
      <c r="I38" s="195" t="s">
        <v>224</v>
      </c>
      <c r="J38" s="250" t="s">
        <v>208</v>
      </c>
      <c r="K38" s="230" t="s">
        <v>32</v>
      </c>
      <c r="L38" s="87">
        <f>'6.Вед.19-21 '!L37</f>
        <v>3000</v>
      </c>
      <c r="M38" s="87">
        <f>'6.Вед.19-21 '!M37</f>
        <v>0</v>
      </c>
      <c r="N38" s="87">
        <f>'6.Вед.19-21 '!N37</f>
        <v>3000</v>
      </c>
      <c r="O38" s="87">
        <f>'6.Вед.19-21 '!O37</f>
        <v>3000</v>
      </c>
      <c r="P38" s="87">
        <f>'6.Вед.19-21 '!P37</f>
        <v>3000</v>
      </c>
    </row>
    <row r="39" spans="1:16" s="36" customFormat="1" ht="60.75" customHeight="1" hidden="1">
      <c r="A39" s="232"/>
      <c r="B39" s="259" t="s">
        <v>344</v>
      </c>
      <c r="C39" s="169"/>
      <c r="D39" s="169"/>
      <c r="E39" s="169"/>
      <c r="F39" s="201">
        <v>862</v>
      </c>
      <c r="G39" s="166" t="s">
        <v>44</v>
      </c>
      <c r="H39" s="166" t="s">
        <v>29</v>
      </c>
      <c r="I39" s="166"/>
      <c r="J39" s="196" t="s">
        <v>343</v>
      </c>
      <c r="K39" s="181"/>
      <c r="L39" s="87">
        <f aca="true" t="shared" si="4" ref="L39:P40">L40</f>
        <v>300</v>
      </c>
      <c r="M39" s="87">
        <f t="shared" si="4"/>
        <v>0</v>
      </c>
      <c r="N39" s="87">
        <f t="shared" si="4"/>
        <v>300</v>
      </c>
      <c r="O39" s="87">
        <f t="shared" si="4"/>
        <v>300</v>
      </c>
      <c r="P39" s="87">
        <f t="shared" si="4"/>
        <v>300</v>
      </c>
    </row>
    <row r="40" spans="1:16" s="36" customFormat="1" ht="15" customHeight="1" hidden="1">
      <c r="A40" s="232"/>
      <c r="B40" s="177" t="s">
        <v>59</v>
      </c>
      <c r="C40" s="169"/>
      <c r="D40" s="169"/>
      <c r="E40" s="169"/>
      <c r="F40" s="201">
        <v>862</v>
      </c>
      <c r="G40" s="166" t="s">
        <v>44</v>
      </c>
      <c r="H40" s="166" t="s">
        <v>29</v>
      </c>
      <c r="I40" s="166"/>
      <c r="J40" s="196" t="s">
        <v>343</v>
      </c>
      <c r="K40" s="166" t="s">
        <v>46</v>
      </c>
      <c r="L40" s="87">
        <f t="shared" si="4"/>
        <v>300</v>
      </c>
      <c r="M40" s="87">
        <f t="shared" si="4"/>
        <v>0</v>
      </c>
      <c r="N40" s="87">
        <f t="shared" si="4"/>
        <v>300</v>
      </c>
      <c r="O40" s="87">
        <f t="shared" si="4"/>
        <v>300</v>
      </c>
      <c r="P40" s="87">
        <f t="shared" si="4"/>
        <v>300</v>
      </c>
    </row>
    <row r="41" spans="1:17" s="36" customFormat="1" ht="16.5" customHeight="1" hidden="1">
      <c r="A41" s="232"/>
      <c r="B41" s="178" t="s">
        <v>69</v>
      </c>
      <c r="C41" s="169"/>
      <c r="D41" s="169"/>
      <c r="E41" s="169"/>
      <c r="F41" s="201">
        <v>862</v>
      </c>
      <c r="G41" s="166" t="s">
        <v>44</v>
      </c>
      <c r="H41" s="166" t="s">
        <v>29</v>
      </c>
      <c r="I41" s="166"/>
      <c r="J41" s="196" t="s">
        <v>343</v>
      </c>
      <c r="K41" s="166" t="s">
        <v>32</v>
      </c>
      <c r="L41" s="87">
        <f>'6.Вед.19-21 '!L40</f>
        <v>300</v>
      </c>
      <c r="M41" s="87">
        <f>'6.Вед.19-21 '!M40</f>
        <v>0</v>
      </c>
      <c r="N41" s="87">
        <f>'6.Вед.19-21 '!N40</f>
        <v>300</v>
      </c>
      <c r="O41" s="87">
        <f>'6.Вед.19-21 '!O40</f>
        <v>300</v>
      </c>
      <c r="P41" s="87">
        <f>'6.Вед.19-21 '!P40</f>
        <v>300</v>
      </c>
      <c r="Q41" s="32"/>
    </row>
    <row r="42" spans="1:17" s="36" customFormat="1" ht="30" customHeight="1" hidden="1">
      <c r="A42" s="260"/>
      <c r="B42" s="261" t="s">
        <v>345</v>
      </c>
      <c r="C42" s="169"/>
      <c r="D42" s="169"/>
      <c r="E42" s="169"/>
      <c r="F42" s="205">
        <v>862</v>
      </c>
      <c r="G42" s="181" t="s">
        <v>44</v>
      </c>
      <c r="H42" s="181" t="s">
        <v>346</v>
      </c>
      <c r="I42" s="181"/>
      <c r="J42" s="192"/>
      <c r="K42" s="181"/>
      <c r="L42" s="88">
        <f aca="true" t="shared" si="5" ref="L42:P44">L43</f>
        <v>6600</v>
      </c>
      <c r="M42" s="88">
        <f t="shared" si="5"/>
        <v>0</v>
      </c>
      <c r="N42" s="88">
        <f t="shared" si="5"/>
        <v>6600</v>
      </c>
      <c r="O42" s="88">
        <f t="shared" si="5"/>
        <v>0</v>
      </c>
      <c r="P42" s="88">
        <f t="shared" si="5"/>
        <v>0</v>
      </c>
      <c r="Q42" s="32"/>
    </row>
    <row r="43" spans="1:17" s="36" customFormat="1" ht="29.25" customHeight="1" hidden="1">
      <c r="A43" s="260"/>
      <c r="B43" s="259" t="s">
        <v>347</v>
      </c>
      <c r="C43" s="169"/>
      <c r="D43" s="169"/>
      <c r="E43" s="169"/>
      <c r="F43" s="201">
        <v>862</v>
      </c>
      <c r="G43" s="166" t="s">
        <v>44</v>
      </c>
      <c r="H43" s="166" t="s">
        <v>346</v>
      </c>
      <c r="I43" s="166"/>
      <c r="J43" s="196" t="s">
        <v>349</v>
      </c>
      <c r="K43" s="166"/>
      <c r="L43" s="87">
        <f t="shared" si="5"/>
        <v>6600</v>
      </c>
      <c r="M43" s="87">
        <f t="shared" si="5"/>
        <v>0</v>
      </c>
      <c r="N43" s="87">
        <f t="shared" si="5"/>
        <v>6600</v>
      </c>
      <c r="O43" s="87">
        <f t="shared" si="5"/>
        <v>0</v>
      </c>
      <c r="P43" s="87">
        <f t="shared" si="5"/>
        <v>0</v>
      </c>
      <c r="Q43" s="32"/>
    </row>
    <row r="44" spans="1:17" s="36" customFormat="1" ht="18.75" customHeight="1" hidden="1">
      <c r="A44" s="260"/>
      <c r="B44" s="259" t="s">
        <v>27</v>
      </c>
      <c r="C44" s="169"/>
      <c r="D44" s="169"/>
      <c r="E44" s="169"/>
      <c r="F44" s="201">
        <v>862</v>
      </c>
      <c r="G44" s="166" t="s">
        <v>44</v>
      </c>
      <c r="H44" s="166" t="s">
        <v>346</v>
      </c>
      <c r="I44" s="166"/>
      <c r="J44" s="196" t="s">
        <v>349</v>
      </c>
      <c r="K44" s="166" t="s">
        <v>28</v>
      </c>
      <c r="L44" s="87">
        <f t="shared" si="5"/>
        <v>6600</v>
      </c>
      <c r="M44" s="87">
        <f t="shared" si="5"/>
        <v>0</v>
      </c>
      <c r="N44" s="87">
        <f t="shared" si="5"/>
        <v>6600</v>
      </c>
      <c r="O44" s="87">
        <f t="shared" si="5"/>
        <v>0</v>
      </c>
      <c r="P44" s="87">
        <f t="shared" si="5"/>
        <v>0</v>
      </c>
      <c r="Q44" s="32"/>
    </row>
    <row r="45" spans="1:17" s="36" customFormat="1" ht="12.75" customHeight="1" hidden="1">
      <c r="A45" s="260"/>
      <c r="B45" s="259" t="s">
        <v>348</v>
      </c>
      <c r="C45" s="169"/>
      <c r="D45" s="169"/>
      <c r="E45" s="169"/>
      <c r="F45" s="201">
        <v>862</v>
      </c>
      <c r="G45" s="166" t="s">
        <v>44</v>
      </c>
      <c r="H45" s="166" t="s">
        <v>346</v>
      </c>
      <c r="I45" s="166"/>
      <c r="J45" s="196" t="s">
        <v>349</v>
      </c>
      <c r="K45" s="166" t="s">
        <v>350</v>
      </c>
      <c r="L45" s="87">
        <f>'6.Вед.19-21 '!L44</f>
        <v>6600</v>
      </c>
      <c r="M45" s="87">
        <f>'6.Вед.19-21 '!M44</f>
        <v>0</v>
      </c>
      <c r="N45" s="87">
        <f>'6.Вед.19-21 '!N44</f>
        <v>6600</v>
      </c>
      <c r="O45" s="87">
        <f>'6.Вед.19-21 '!O44</f>
        <v>0</v>
      </c>
      <c r="P45" s="87">
        <f>'6.Вед.19-21 '!P44</f>
        <v>0</v>
      </c>
      <c r="Q45" s="32"/>
    </row>
    <row r="46" spans="1:16" s="36" customFormat="1" ht="15.75" customHeight="1" hidden="1">
      <c r="A46" s="379" t="s">
        <v>51</v>
      </c>
      <c r="B46" s="380"/>
      <c r="C46" s="169">
        <v>70</v>
      </c>
      <c r="D46" s="169">
        <v>0</v>
      </c>
      <c r="E46" s="185" t="s">
        <v>315</v>
      </c>
      <c r="F46" s="190">
        <v>862</v>
      </c>
      <c r="G46" s="181" t="s">
        <v>44</v>
      </c>
      <c r="H46" s="181" t="s">
        <v>60</v>
      </c>
      <c r="I46" s="181"/>
      <c r="J46" s="183"/>
      <c r="K46" s="181"/>
      <c r="L46" s="88">
        <f aca="true" t="shared" si="6" ref="L46:P48">L47</f>
        <v>0</v>
      </c>
      <c r="M46" s="88">
        <f t="shared" si="6"/>
        <v>0</v>
      </c>
      <c r="N46" s="88">
        <f t="shared" si="6"/>
        <v>0</v>
      </c>
      <c r="O46" s="88">
        <f t="shared" si="6"/>
        <v>0</v>
      </c>
      <c r="P46" s="88">
        <f t="shared" si="6"/>
        <v>0</v>
      </c>
    </row>
    <row r="47" spans="1:16" ht="15.75" customHeight="1" hidden="1">
      <c r="A47" s="373" t="s">
        <v>70</v>
      </c>
      <c r="B47" s="374"/>
      <c r="C47" s="53">
        <v>70</v>
      </c>
      <c r="D47" s="53">
        <v>0</v>
      </c>
      <c r="E47" s="210" t="s">
        <v>315</v>
      </c>
      <c r="F47" s="201">
        <v>862</v>
      </c>
      <c r="G47" s="166" t="s">
        <v>44</v>
      </c>
      <c r="H47" s="166" t="s">
        <v>60</v>
      </c>
      <c r="I47" s="195" t="s">
        <v>316</v>
      </c>
      <c r="J47" s="250" t="s">
        <v>317</v>
      </c>
      <c r="K47" s="166"/>
      <c r="L47" s="87">
        <f t="shared" si="6"/>
        <v>0</v>
      </c>
      <c r="M47" s="87">
        <f t="shared" si="6"/>
        <v>0</v>
      </c>
      <c r="N47" s="87">
        <f t="shared" si="6"/>
        <v>0</v>
      </c>
      <c r="O47" s="87">
        <f t="shared" si="6"/>
        <v>0</v>
      </c>
      <c r="P47" s="87">
        <f t="shared" si="6"/>
        <v>0</v>
      </c>
    </row>
    <row r="48" spans="1:16" ht="12.75" customHeight="1" hidden="1">
      <c r="A48" s="173"/>
      <c r="B48" s="204" t="s">
        <v>27</v>
      </c>
      <c r="C48" s="53">
        <v>70</v>
      </c>
      <c r="D48" s="53">
        <v>0</v>
      </c>
      <c r="E48" s="210" t="s">
        <v>315</v>
      </c>
      <c r="F48" s="201">
        <v>862</v>
      </c>
      <c r="G48" s="166" t="s">
        <v>44</v>
      </c>
      <c r="H48" s="166" t="s">
        <v>60</v>
      </c>
      <c r="I48" s="195" t="s">
        <v>316</v>
      </c>
      <c r="J48" s="250" t="s">
        <v>317</v>
      </c>
      <c r="K48" s="166" t="s">
        <v>28</v>
      </c>
      <c r="L48" s="87">
        <f t="shared" si="6"/>
        <v>0</v>
      </c>
      <c r="M48" s="87">
        <f t="shared" si="6"/>
        <v>0</v>
      </c>
      <c r="N48" s="87">
        <f t="shared" si="6"/>
        <v>0</v>
      </c>
      <c r="O48" s="87">
        <f t="shared" si="6"/>
        <v>0</v>
      </c>
      <c r="P48" s="87">
        <f t="shared" si="6"/>
        <v>0</v>
      </c>
    </row>
    <row r="49" spans="1:16" ht="15.75" customHeight="1" hidden="1">
      <c r="A49" s="173"/>
      <c r="B49" s="177" t="s">
        <v>30</v>
      </c>
      <c r="C49" s="53">
        <v>70</v>
      </c>
      <c r="D49" s="53">
        <v>0</v>
      </c>
      <c r="E49" s="210" t="s">
        <v>315</v>
      </c>
      <c r="F49" s="201">
        <v>862</v>
      </c>
      <c r="G49" s="166" t="s">
        <v>44</v>
      </c>
      <c r="H49" s="166" t="s">
        <v>60</v>
      </c>
      <c r="I49" s="195" t="s">
        <v>316</v>
      </c>
      <c r="J49" s="250" t="s">
        <v>317</v>
      </c>
      <c r="K49" s="166" t="s">
        <v>31</v>
      </c>
      <c r="L49" s="87"/>
      <c r="M49" s="87"/>
      <c r="N49" s="87"/>
      <c r="O49" s="87"/>
      <c r="P49" s="87"/>
    </row>
    <row r="50" spans="1:16" s="36" customFormat="1" ht="15.75" customHeight="1" hidden="1">
      <c r="A50" s="379" t="s">
        <v>52</v>
      </c>
      <c r="B50" s="380"/>
      <c r="C50" s="169">
        <v>63</v>
      </c>
      <c r="D50" s="169">
        <v>0</v>
      </c>
      <c r="E50" s="169">
        <v>11</v>
      </c>
      <c r="F50" s="190">
        <v>863</v>
      </c>
      <c r="G50" s="181" t="s">
        <v>44</v>
      </c>
      <c r="H50" s="181" t="s">
        <v>61</v>
      </c>
      <c r="I50" s="181"/>
      <c r="J50" s="183"/>
      <c r="K50" s="181"/>
      <c r="L50" s="88">
        <f>L54+L51</f>
        <v>78500</v>
      </c>
      <c r="M50" s="88">
        <f>M54+M51</f>
        <v>26000</v>
      </c>
      <c r="N50" s="88">
        <f>N54+N51</f>
        <v>104500</v>
      </c>
      <c r="O50" s="88">
        <f>O54</f>
        <v>500</v>
      </c>
      <c r="P50" s="88">
        <f>P54</f>
        <v>500</v>
      </c>
    </row>
    <row r="51" spans="1:16" s="36" customFormat="1" ht="40.5" customHeight="1" hidden="1">
      <c r="A51" s="160"/>
      <c r="B51" s="310" t="s">
        <v>402</v>
      </c>
      <c r="C51" s="169"/>
      <c r="D51" s="169"/>
      <c r="E51" s="169"/>
      <c r="F51" s="190"/>
      <c r="G51" s="166" t="s">
        <v>44</v>
      </c>
      <c r="H51" s="166" t="s">
        <v>61</v>
      </c>
      <c r="I51" s="166"/>
      <c r="J51" s="250" t="s">
        <v>403</v>
      </c>
      <c r="K51" s="181"/>
      <c r="L51" s="87">
        <f aca="true" t="shared" si="7" ref="L51:N52">L52</f>
        <v>78000</v>
      </c>
      <c r="M51" s="87">
        <f t="shared" si="7"/>
        <v>26000</v>
      </c>
      <c r="N51" s="87">
        <f t="shared" si="7"/>
        <v>104000</v>
      </c>
      <c r="O51" s="88"/>
      <c r="P51" s="88"/>
    </row>
    <row r="52" spans="1:16" s="36" customFormat="1" ht="29.25" customHeight="1" hidden="1">
      <c r="A52" s="160"/>
      <c r="B52" s="70" t="s">
        <v>197</v>
      </c>
      <c r="C52" s="169"/>
      <c r="D52" s="169"/>
      <c r="E52" s="169"/>
      <c r="F52" s="190"/>
      <c r="G52" s="166" t="s">
        <v>44</v>
      </c>
      <c r="H52" s="166" t="s">
        <v>61</v>
      </c>
      <c r="I52" s="166"/>
      <c r="J52" s="250" t="s">
        <v>403</v>
      </c>
      <c r="K52" s="166" t="s">
        <v>25</v>
      </c>
      <c r="L52" s="87">
        <f t="shared" si="7"/>
        <v>78000</v>
      </c>
      <c r="M52" s="87">
        <f t="shared" si="7"/>
        <v>26000</v>
      </c>
      <c r="N52" s="87">
        <f t="shared" si="7"/>
        <v>104000</v>
      </c>
      <c r="O52" s="88"/>
      <c r="P52" s="88"/>
    </row>
    <row r="53" spans="1:16" s="36" customFormat="1" ht="37.5" customHeight="1" hidden="1">
      <c r="A53" s="160"/>
      <c r="B53" s="174" t="s">
        <v>94</v>
      </c>
      <c r="C53" s="169"/>
      <c r="D53" s="169"/>
      <c r="E53" s="169"/>
      <c r="F53" s="190"/>
      <c r="G53" s="166" t="s">
        <v>44</v>
      </c>
      <c r="H53" s="166" t="s">
        <v>61</v>
      </c>
      <c r="I53" s="166"/>
      <c r="J53" s="250" t="s">
        <v>403</v>
      </c>
      <c r="K53" s="166" t="s">
        <v>26</v>
      </c>
      <c r="L53" s="87">
        <f>'6.Вед.19-21 '!L52</f>
        <v>78000</v>
      </c>
      <c r="M53" s="87">
        <f>'6.Вед.19-21 '!M52</f>
        <v>26000</v>
      </c>
      <c r="N53" s="87">
        <f>'6.Вед.19-21 '!N52</f>
        <v>104000</v>
      </c>
      <c r="O53" s="88"/>
      <c r="P53" s="88"/>
    </row>
    <row r="54" spans="1:16" ht="48" customHeight="1" hidden="1">
      <c r="A54" s="373" t="s">
        <v>211</v>
      </c>
      <c r="B54" s="374"/>
      <c r="C54" s="53">
        <v>63</v>
      </c>
      <c r="D54" s="53">
        <v>0</v>
      </c>
      <c r="E54" s="53">
        <v>11</v>
      </c>
      <c r="F54" s="201">
        <v>862</v>
      </c>
      <c r="G54" s="210" t="s">
        <v>44</v>
      </c>
      <c r="H54" s="210" t="s">
        <v>61</v>
      </c>
      <c r="I54" s="195" t="s">
        <v>225</v>
      </c>
      <c r="J54" s="250" t="s">
        <v>209</v>
      </c>
      <c r="K54" s="210"/>
      <c r="L54" s="87">
        <f aca="true" t="shared" si="8" ref="L54:P55">L55</f>
        <v>500</v>
      </c>
      <c r="M54" s="87">
        <f t="shared" si="8"/>
        <v>0</v>
      </c>
      <c r="N54" s="87">
        <f t="shared" si="8"/>
        <v>500</v>
      </c>
      <c r="O54" s="87">
        <f t="shared" si="8"/>
        <v>500</v>
      </c>
      <c r="P54" s="87">
        <f t="shared" si="8"/>
        <v>500</v>
      </c>
    </row>
    <row r="55" spans="1:16" ht="16.5" customHeight="1" hidden="1">
      <c r="A55" s="173"/>
      <c r="B55" s="177" t="s">
        <v>59</v>
      </c>
      <c r="C55" s="53">
        <v>63</v>
      </c>
      <c r="D55" s="53">
        <v>0</v>
      </c>
      <c r="E55" s="53">
        <v>11</v>
      </c>
      <c r="F55" s="201">
        <v>862</v>
      </c>
      <c r="G55" s="166" t="s">
        <v>44</v>
      </c>
      <c r="H55" s="210" t="s">
        <v>61</v>
      </c>
      <c r="I55" s="195" t="s">
        <v>225</v>
      </c>
      <c r="J55" s="250" t="s">
        <v>209</v>
      </c>
      <c r="K55" s="166" t="s">
        <v>46</v>
      </c>
      <c r="L55" s="87">
        <f t="shared" si="8"/>
        <v>500</v>
      </c>
      <c r="M55" s="87">
        <f t="shared" si="8"/>
        <v>0</v>
      </c>
      <c r="N55" s="87">
        <f t="shared" si="8"/>
        <v>500</v>
      </c>
      <c r="O55" s="87">
        <f t="shared" si="8"/>
        <v>500</v>
      </c>
      <c r="P55" s="87">
        <f t="shared" si="8"/>
        <v>500</v>
      </c>
    </row>
    <row r="56" spans="1:16" ht="15.75" customHeight="1" hidden="1">
      <c r="A56" s="173"/>
      <c r="B56" s="178" t="s">
        <v>69</v>
      </c>
      <c r="C56" s="53">
        <v>63</v>
      </c>
      <c r="D56" s="53">
        <v>0</v>
      </c>
      <c r="E56" s="53">
        <v>11</v>
      </c>
      <c r="F56" s="201">
        <v>862</v>
      </c>
      <c r="G56" s="166" t="s">
        <v>44</v>
      </c>
      <c r="H56" s="210" t="s">
        <v>61</v>
      </c>
      <c r="I56" s="195" t="s">
        <v>225</v>
      </c>
      <c r="J56" s="250" t="s">
        <v>209</v>
      </c>
      <c r="K56" s="230" t="s">
        <v>32</v>
      </c>
      <c r="L56" s="87">
        <f>'6.Вед.19-21 '!L55</f>
        <v>500</v>
      </c>
      <c r="M56" s="87">
        <f>'6.Вед.19-21 '!M55</f>
        <v>0</v>
      </c>
      <c r="N56" s="87">
        <f>'6.Вед.19-21 '!N55</f>
        <v>500</v>
      </c>
      <c r="O56" s="87">
        <f>'6.Вед.19-21 '!O55</f>
        <v>500</v>
      </c>
      <c r="P56" s="87">
        <f>'6.Вед.19-21 '!P55</f>
        <v>500</v>
      </c>
    </row>
    <row r="57" spans="1:16" s="35" customFormat="1" ht="14.25" customHeight="1">
      <c r="A57" s="233" t="s">
        <v>62</v>
      </c>
      <c r="B57" s="233" t="s">
        <v>62</v>
      </c>
      <c r="C57" s="169">
        <v>63</v>
      </c>
      <c r="D57" s="169">
        <v>0</v>
      </c>
      <c r="E57" s="169">
        <v>12</v>
      </c>
      <c r="F57" s="226">
        <v>862</v>
      </c>
      <c r="G57" s="181" t="s">
        <v>45</v>
      </c>
      <c r="H57" s="181"/>
      <c r="I57" s="181"/>
      <c r="J57" s="183"/>
      <c r="K57" s="181"/>
      <c r="L57" s="88">
        <f aca="true" t="shared" si="9" ref="L57:P58">L58</f>
        <v>79305</v>
      </c>
      <c r="M57" s="88">
        <f t="shared" si="9"/>
        <v>0</v>
      </c>
      <c r="N57" s="88">
        <f t="shared" si="9"/>
        <v>79305</v>
      </c>
      <c r="O57" s="88">
        <f t="shared" si="9"/>
        <v>79305</v>
      </c>
      <c r="P57" s="88">
        <f t="shared" si="9"/>
        <v>79305</v>
      </c>
    </row>
    <row r="58" spans="1:16" s="38" customFormat="1" ht="14.25" customHeight="1">
      <c r="A58" s="233" t="s">
        <v>63</v>
      </c>
      <c r="B58" s="233" t="s">
        <v>63</v>
      </c>
      <c r="C58" s="169">
        <v>63</v>
      </c>
      <c r="D58" s="169">
        <v>0</v>
      </c>
      <c r="E58" s="169">
        <v>12</v>
      </c>
      <c r="F58" s="226">
        <v>862</v>
      </c>
      <c r="G58" s="181" t="s">
        <v>45</v>
      </c>
      <c r="H58" s="181" t="s">
        <v>47</v>
      </c>
      <c r="I58" s="181"/>
      <c r="J58" s="183"/>
      <c r="K58" s="181"/>
      <c r="L58" s="88">
        <f t="shared" si="9"/>
        <v>79305</v>
      </c>
      <c r="M58" s="88">
        <f t="shared" si="9"/>
        <v>0</v>
      </c>
      <c r="N58" s="88">
        <f t="shared" si="9"/>
        <v>79305</v>
      </c>
      <c r="O58" s="88">
        <f t="shared" si="9"/>
        <v>79305</v>
      </c>
      <c r="P58" s="88">
        <f t="shared" si="9"/>
        <v>79305</v>
      </c>
    </row>
    <row r="59" spans="1:16" s="37" customFormat="1" ht="27.75" customHeight="1">
      <c r="A59" s="231" t="s">
        <v>97</v>
      </c>
      <c r="B59" s="244" t="s">
        <v>324</v>
      </c>
      <c r="C59" s="53">
        <v>63</v>
      </c>
      <c r="D59" s="53">
        <v>0</v>
      </c>
      <c r="E59" s="53">
        <v>12</v>
      </c>
      <c r="F59" s="201">
        <v>862</v>
      </c>
      <c r="G59" s="166" t="s">
        <v>45</v>
      </c>
      <c r="H59" s="166" t="s">
        <v>47</v>
      </c>
      <c r="I59" s="166" t="s">
        <v>226</v>
      </c>
      <c r="J59" s="250" t="s">
        <v>212</v>
      </c>
      <c r="K59" s="166"/>
      <c r="L59" s="87">
        <f>L60+L62</f>
        <v>79305</v>
      </c>
      <c r="M59" s="87">
        <f>M60+M62</f>
        <v>0</v>
      </c>
      <c r="N59" s="87">
        <f>N60+N62</f>
        <v>79305</v>
      </c>
      <c r="O59" s="87">
        <f>O60+O62</f>
        <v>79305</v>
      </c>
      <c r="P59" s="87">
        <f>P60+P62</f>
        <v>79305</v>
      </c>
    </row>
    <row r="60" spans="1:16" ht="64.5" customHeight="1">
      <c r="A60" s="171"/>
      <c r="B60" s="48" t="s">
        <v>89</v>
      </c>
      <c r="C60" s="53">
        <v>63</v>
      </c>
      <c r="D60" s="53">
        <v>0</v>
      </c>
      <c r="E60" s="53">
        <v>12</v>
      </c>
      <c r="F60" s="201">
        <v>862</v>
      </c>
      <c r="G60" s="166" t="s">
        <v>45</v>
      </c>
      <c r="H60" s="166" t="s">
        <v>47</v>
      </c>
      <c r="I60" s="166" t="s">
        <v>226</v>
      </c>
      <c r="J60" s="250" t="s">
        <v>212</v>
      </c>
      <c r="K60" s="166" t="s">
        <v>23</v>
      </c>
      <c r="L60" s="87">
        <f>L61</f>
        <v>74600</v>
      </c>
      <c r="M60" s="87">
        <f>M61</f>
        <v>928.25</v>
      </c>
      <c r="N60" s="87">
        <f>N61</f>
        <v>75528.25</v>
      </c>
      <c r="O60" s="87">
        <f>O61</f>
        <v>74600</v>
      </c>
      <c r="P60" s="87">
        <f>P61</f>
        <v>74600</v>
      </c>
    </row>
    <row r="61" spans="1:16" ht="25.5" customHeight="1">
      <c r="A61" s="173"/>
      <c r="B61" s="48" t="s">
        <v>92</v>
      </c>
      <c r="C61" s="53">
        <v>63</v>
      </c>
      <c r="D61" s="53">
        <v>0</v>
      </c>
      <c r="E61" s="53">
        <v>12</v>
      </c>
      <c r="F61" s="201">
        <v>862</v>
      </c>
      <c r="G61" s="166" t="s">
        <v>45</v>
      </c>
      <c r="H61" s="166" t="s">
        <v>47</v>
      </c>
      <c r="I61" s="166" t="s">
        <v>226</v>
      </c>
      <c r="J61" s="250" t="s">
        <v>212</v>
      </c>
      <c r="K61" s="166" t="s">
        <v>24</v>
      </c>
      <c r="L61" s="87">
        <f>'6.Вед.19-21 '!L60</f>
        <v>74600</v>
      </c>
      <c r="M61" s="87">
        <f>'6.Вед.19-21 '!M60</f>
        <v>928.25</v>
      </c>
      <c r="N61" s="87">
        <f>'6.Вед.19-21 '!N60</f>
        <v>75528.25</v>
      </c>
      <c r="O61" s="87">
        <f>'6.Вед.19-21 '!O60</f>
        <v>74600</v>
      </c>
      <c r="P61" s="87">
        <f>'6.Вед.19-21 '!P60</f>
        <v>74600</v>
      </c>
    </row>
    <row r="62" spans="1:16" ht="25.5" customHeight="1">
      <c r="A62" s="173"/>
      <c r="B62" s="70" t="s">
        <v>197</v>
      </c>
      <c r="C62" s="53">
        <v>63</v>
      </c>
      <c r="D62" s="53">
        <v>0</v>
      </c>
      <c r="E62" s="53">
        <v>12</v>
      </c>
      <c r="F62" s="201">
        <v>862</v>
      </c>
      <c r="G62" s="166" t="s">
        <v>45</v>
      </c>
      <c r="H62" s="166" t="s">
        <v>47</v>
      </c>
      <c r="I62" s="166" t="s">
        <v>226</v>
      </c>
      <c r="J62" s="250" t="s">
        <v>212</v>
      </c>
      <c r="K62" s="166" t="s">
        <v>25</v>
      </c>
      <c r="L62" s="87">
        <f>L63</f>
        <v>4705</v>
      </c>
      <c r="M62" s="87">
        <f>M63</f>
        <v>-928.25</v>
      </c>
      <c r="N62" s="87">
        <f>N63</f>
        <v>3776.75</v>
      </c>
      <c r="O62" s="87">
        <f>O63</f>
        <v>4705</v>
      </c>
      <c r="P62" s="87">
        <f>P63</f>
        <v>4705</v>
      </c>
    </row>
    <row r="63" spans="1:16" ht="25.5" customHeight="1">
      <c r="A63" s="173"/>
      <c r="B63" s="174" t="s">
        <v>94</v>
      </c>
      <c r="C63" s="53">
        <v>63</v>
      </c>
      <c r="D63" s="53">
        <v>0</v>
      </c>
      <c r="E63" s="53">
        <v>12</v>
      </c>
      <c r="F63" s="201">
        <v>862</v>
      </c>
      <c r="G63" s="166" t="s">
        <v>45</v>
      </c>
      <c r="H63" s="166" t="s">
        <v>47</v>
      </c>
      <c r="I63" s="166" t="s">
        <v>226</v>
      </c>
      <c r="J63" s="250" t="s">
        <v>212</v>
      </c>
      <c r="K63" s="166" t="s">
        <v>26</v>
      </c>
      <c r="L63" s="87">
        <f>'6.Вед.19-21 '!L62</f>
        <v>4705</v>
      </c>
      <c r="M63" s="87">
        <f>'6.Вед.19-21 '!M62</f>
        <v>-928.25</v>
      </c>
      <c r="N63" s="87">
        <f>'6.Вед.19-21 '!N62</f>
        <v>3776.75</v>
      </c>
      <c r="O63" s="87">
        <f>'6.Вед.19-21 '!O62</f>
        <v>4705</v>
      </c>
      <c r="P63" s="87">
        <f>'6.Вед.19-21 '!P62</f>
        <v>4705</v>
      </c>
    </row>
    <row r="64" spans="1:16" s="35" customFormat="1" ht="27.75" customHeight="1" hidden="1">
      <c r="A64" s="233" t="s">
        <v>53</v>
      </c>
      <c r="B64" s="234" t="s">
        <v>53</v>
      </c>
      <c r="C64" s="169">
        <v>63</v>
      </c>
      <c r="D64" s="169">
        <v>0</v>
      </c>
      <c r="E64" s="169">
        <v>13</v>
      </c>
      <c r="F64" s="226">
        <v>862</v>
      </c>
      <c r="G64" s="181" t="s">
        <v>47</v>
      </c>
      <c r="H64" s="181"/>
      <c r="I64" s="181"/>
      <c r="J64" s="183"/>
      <c r="K64" s="181"/>
      <c r="L64" s="88">
        <f aca="true" t="shared" si="10" ref="L64:P65">L65</f>
        <v>50000</v>
      </c>
      <c r="M64" s="88">
        <f t="shared" si="10"/>
        <v>0</v>
      </c>
      <c r="N64" s="88">
        <f t="shared" si="10"/>
        <v>50000</v>
      </c>
      <c r="O64" s="88">
        <f t="shared" si="10"/>
        <v>20000</v>
      </c>
      <c r="P64" s="88">
        <f t="shared" si="10"/>
        <v>20000</v>
      </c>
    </row>
    <row r="65" spans="1:16" s="36" customFormat="1" ht="14.25" customHeight="1" hidden="1">
      <c r="A65" s="233" t="s">
        <v>66</v>
      </c>
      <c r="B65" s="234" t="s">
        <v>66</v>
      </c>
      <c r="C65" s="169">
        <v>63</v>
      </c>
      <c r="D65" s="169">
        <v>0</v>
      </c>
      <c r="E65" s="169">
        <v>13</v>
      </c>
      <c r="F65" s="235">
        <v>862</v>
      </c>
      <c r="G65" s="181" t="s">
        <v>47</v>
      </c>
      <c r="H65" s="185" t="s">
        <v>58</v>
      </c>
      <c r="I65" s="185"/>
      <c r="J65" s="251"/>
      <c r="K65" s="166"/>
      <c r="L65" s="88">
        <f t="shared" si="10"/>
        <v>50000</v>
      </c>
      <c r="M65" s="88">
        <f t="shared" si="10"/>
        <v>0</v>
      </c>
      <c r="N65" s="88">
        <f t="shared" si="10"/>
        <v>50000</v>
      </c>
      <c r="O65" s="88">
        <f t="shared" si="10"/>
        <v>20000</v>
      </c>
      <c r="P65" s="88">
        <f t="shared" si="10"/>
        <v>20000</v>
      </c>
    </row>
    <row r="66" spans="1:16" ht="15" customHeight="1" hidden="1">
      <c r="A66" s="231" t="s">
        <v>98</v>
      </c>
      <c r="B66" s="231" t="s">
        <v>98</v>
      </c>
      <c r="C66" s="53">
        <v>63</v>
      </c>
      <c r="D66" s="53">
        <v>0</v>
      </c>
      <c r="E66" s="53">
        <v>13</v>
      </c>
      <c r="F66" s="201">
        <v>862</v>
      </c>
      <c r="G66" s="166" t="s">
        <v>47</v>
      </c>
      <c r="H66" s="166" t="s">
        <v>58</v>
      </c>
      <c r="I66" s="210" t="s">
        <v>303</v>
      </c>
      <c r="J66" s="250" t="s">
        <v>322</v>
      </c>
      <c r="K66" s="166"/>
      <c r="L66" s="87">
        <f>L67+L69</f>
        <v>50000</v>
      </c>
      <c r="M66" s="87">
        <f>M67+M69</f>
        <v>0</v>
      </c>
      <c r="N66" s="87">
        <f>N67+N69</f>
        <v>50000</v>
      </c>
      <c r="O66" s="87">
        <f>O67+O69</f>
        <v>20000</v>
      </c>
      <c r="P66" s="87">
        <f>P67+P69</f>
        <v>20000</v>
      </c>
    </row>
    <row r="67" spans="1:16" ht="36.75" customHeight="1" hidden="1">
      <c r="A67" s="186"/>
      <c r="B67" s="48" t="s">
        <v>89</v>
      </c>
      <c r="C67" s="53">
        <v>63</v>
      </c>
      <c r="D67" s="53">
        <v>0</v>
      </c>
      <c r="E67" s="53">
        <v>13</v>
      </c>
      <c r="F67" s="201">
        <v>862</v>
      </c>
      <c r="G67" s="166" t="s">
        <v>47</v>
      </c>
      <c r="H67" s="210" t="s">
        <v>58</v>
      </c>
      <c r="I67" s="210" t="s">
        <v>303</v>
      </c>
      <c r="J67" s="250" t="s">
        <v>322</v>
      </c>
      <c r="K67" s="166" t="s">
        <v>23</v>
      </c>
      <c r="L67" s="87">
        <f>L68</f>
        <v>0</v>
      </c>
      <c r="M67" s="87">
        <f>M68</f>
        <v>0</v>
      </c>
      <c r="N67" s="87">
        <f>N68</f>
        <v>0</v>
      </c>
      <c r="O67" s="87">
        <f>O68</f>
        <v>0</v>
      </c>
      <c r="P67" s="87">
        <f>P68</f>
        <v>0</v>
      </c>
    </row>
    <row r="68" spans="1:16" ht="15" customHeight="1" hidden="1">
      <c r="A68" s="187"/>
      <c r="B68" s="48" t="s">
        <v>103</v>
      </c>
      <c r="C68" s="53">
        <v>63</v>
      </c>
      <c r="D68" s="53">
        <v>0</v>
      </c>
      <c r="E68" s="53">
        <v>13</v>
      </c>
      <c r="F68" s="201">
        <v>862</v>
      </c>
      <c r="G68" s="166" t="s">
        <v>47</v>
      </c>
      <c r="H68" s="210" t="s">
        <v>58</v>
      </c>
      <c r="I68" s="210" t="s">
        <v>303</v>
      </c>
      <c r="J68" s="250" t="s">
        <v>322</v>
      </c>
      <c r="K68" s="166" t="s">
        <v>102</v>
      </c>
      <c r="L68" s="87">
        <v>0</v>
      </c>
      <c r="M68" s="87">
        <v>0</v>
      </c>
      <c r="N68" s="87">
        <v>0</v>
      </c>
      <c r="O68" s="87"/>
      <c r="P68" s="87"/>
    </row>
    <row r="69" spans="1:16" ht="14.25" customHeight="1" hidden="1">
      <c r="A69" s="187"/>
      <c r="B69" s="70" t="s">
        <v>197</v>
      </c>
      <c r="C69" s="53">
        <v>63</v>
      </c>
      <c r="D69" s="53">
        <v>0</v>
      </c>
      <c r="E69" s="53">
        <v>13</v>
      </c>
      <c r="F69" s="201">
        <v>862</v>
      </c>
      <c r="G69" s="166" t="s">
        <v>47</v>
      </c>
      <c r="H69" s="210" t="s">
        <v>58</v>
      </c>
      <c r="I69" s="210" t="s">
        <v>303</v>
      </c>
      <c r="J69" s="250" t="s">
        <v>322</v>
      </c>
      <c r="K69" s="166" t="s">
        <v>25</v>
      </c>
      <c r="L69" s="87">
        <f>L70</f>
        <v>50000</v>
      </c>
      <c r="M69" s="87">
        <f>M70</f>
        <v>0</v>
      </c>
      <c r="N69" s="87">
        <f>N70</f>
        <v>50000</v>
      </c>
      <c r="O69" s="87">
        <f>O70</f>
        <v>20000</v>
      </c>
      <c r="P69" s="87">
        <f>P70</f>
        <v>20000</v>
      </c>
    </row>
    <row r="70" spans="1:16" ht="15.75" customHeight="1" hidden="1">
      <c r="A70" s="55"/>
      <c r="B70" s="57" t="s">
        <v>94</v>
      </c>
      <c r="C70" s="53">
        <v>63</v>
      </c>
      <c r="D70" s="53">
        <v>0</v>
      </c>
      <c r="E70" s="53">
        <v>13</v>
      </c>
      <c r="F70" s="201">
        <v>862</v>
      </c>
      <c r="G70" s="166" t="s">
        <v>47</v>
      </c>
      <c r="H70" s="210" t="s">
        <v>58</v>
      </c>
      <c r="I70" s="210" t="s">
        <v>303</v>
      </c>
      <c r="J70" s="250" t="s">
        <v>322</v>
      </c>
      <c r="K70" s="166" t="s">
        <v>26</v>
      </c>
      <c r="L70" s="87">
        <f>'6.Вед.19-21 '!L69</f>
        <v>50000</v>
      </c>
      <c r="M70" s="87">
        <f>'6.Вед.19-21 '!M69</f>
        <v>0</v>
      </c>
      <c r="N70" s="87">
        <f>'6.Вед.19-21 '!N69</f>
        <v>50000</v>
      </c>
      <c r="O70" s="87">
        <f>'6.Вед.19-21 '!O69</f>
        <v>20000</v>
      </c>
      <c r="P70" s="87">
        <f>'6.Вед.19-21 '!P69</f>
        <v>20000</v>
      </c>
    </row>
    <row r="71" spans="1:16" s="35" customFormat="1" ht="15.75" customHeight="1" hidden="1">
      <c r="A71" s="387" t="s">
        <v>175</v>
      </c>
      <c r="B71" s="387"/>
      <c r="C71" s="169">
        <v>63</v>
      </c>
      <c r="D71" s="169">
        <v>0</v>
      </c>
      <c r="E71" s="169">
        <v>14</v>
      </c>
      <c r="F71" s="205">
        <v>862</v>
      </c>
      <c r="G71" s="181" t="s">
        <v>49</v>
      </c>
      <c r="H71" s="227"/>
      <c r="I71" s="227"/>
      <c r="J71" s="248"/>
      <c r="K71" s="227"/>
      <c r="L71" s="88">
        <f>L72</f>
        <v>852651.71</v>
      </c>
      <c r="M71" s="88">
        <f aca="true" t="shared" si="11" ref="M71:N74">M72</f>
        <v>0</v>
      </c>
      <c r="N71" s="88">
        <f t="shared" si="11"/>
        <v>852651.71</v>
      </c>
      <c r="O71" s="88">
        <f aca="true" t="shared" si="12" ref="O71:P74">O72</f>
        <v>521979</v>
      </c>
      <c r="P71" s="88">
        <f t="shared" si="12"/>
        <v>589950</v>
      </c>
    </row>
    <row r="72" spans="1:16" s="36" customFormat="1" ht="16.5" customHeight="1" hidden="1">
      <c r="A72" s="388" t="s">
        <v>176</v>
      </c>
      <c r="B72" s="389"/>
      <c r="C72" s="169">
        <v>63</v>
      </c>
      <c r="D72" s="169">
        <v>0</v>
      </c>
      <c r="E72" s="169">
        <v>14</v>
      </c>
      <c r="F72" s="190">
        <v>862</v>
      </c>
      <c r="G72" s="181" t="s">
        <v>49</v>
      </c>
      <c r="H72" s="181" t="s">
        <v>177</v>
      </c>
      <c r="I72" s="181"/>
      <c r="J72" s="183"/>
      <c r="K72" s="181"/>
      <c r="L72" s="88">
        <f>L73</f>
        <v>852651.71</v>
      </c>
      <c r="M72" s="88">
        <f t="shared" si="11"/>
        <v>0</v>
      </c>
      <c r="N72" s="88">
        <f t="shared" si="11"/>
        <v>852651.71</v>
      </c>
      <c r="O72" s="88">
        <f t="shared" si="12"/>
        <v>521979</v>
      </c>
      <c r="P72" s="88">
        <f t="shared" si="12"/>
        <v>589950</v>
      </c>
    </row>
    <row r="73" spans="1:16" ht="194.25" customHeight="1" hidden="1">
      <c r="A73" s="390" t="s">
        <v>214</v>
      </c>
      <c r="B73" s="391"/>
      <c r="C73" s="236">
        <v>63</v>
      </c>
      <c r="D73" s="236">
        <v>0</v>
      </c>
      <c r="E73" s="236">
        <v>14</v>
      </c>
      <c r="F73" s="201">
        <v>862</v>
      </c>
      <c r="G73" s="230" t="s">
        <v>49</v>
      </c>
      <c r="H73" s="230" t="s">
        <v>177</v>
      </c>
      <c r="I73" s="230" t="s">
        <v>227</v>
      </c>
      <c r="J73" s="250" t="s">
        <v>213</v>
      </c>
      <c r="K73" s="166"/>
      <c r="L73" s="87">
        <f>L74</f>
        <v>852651.71</v>
      </c>
      <c r="M73" s="87">
        <f t="shared" si="11"/>
        <v>0</v>
      </c>
      <c r="N73" s="87">
        <f t="shared" si="11"/>
        <v>852651.71</v>
      </c>
      <c r="O73" s="87">
        <f t="shared" si="12"/>
        <v>521979</v>
      </c>
      <c r="P73" s="87">
        <f t="shared" si="12"/>
        <v>589950</v>
      </c>
    </row>
    <row r="74" spans="1:16" ht="27" customHeight="1" hidden="1">
      <c r="A74" s="68"/>
      <c r="B74" s="70" t="s">
        <v>197</v>
      </c>
      <c r="C74" s="236">
        <v>63</v>
      </c>
      <c r="D74" s="236">
        <v>0</v>
      </c>
      <c r="E74" s="236">
        <v>14</v>
      </c>
      <c r="F74" s="201">
        <v>862</v>
      </c>
      <c r="G74" s="230" t="s">
        <v>49</v>
      </c>
      <c r="H74" s="230" t="s">
        <v>177</v>
      </c>
      <c r="I74" s="230" t="s">
        <v>227</v>
      </c>
      <c r="J74" s="250" t="s">
        <v>213</v>
      </c>
      <c r="K74" s="166" t="s">
        <v>25</v>
      </c>
      <c r="L74" s="87">
        <f>L75</f>
        <v>852651.71</v>
      </c>
      <c r="M74" s="87">
        <f t="shared" si="11"/>
        <v>0</v>
      </c>
      <c r="N74" s="87">
        <f t="shared" si="11"/>
        <v>852651.71</v>
      </c>
      <c r="O74" s="87">
        <f t="shared" si="12"/>
        <v>521979</v>
      </c>
      <c r="P74" s="87">
        <f t="shared" si="12"/>
        <v>589950</v>
      </c>
    </row>
    <row r="75" spans="1:16" ht="27" customHeight="1" hidden="1">
      <c r="A75" s="68"/>
      <c r="B75" s="57" t="s">
        <v>94</v>
      </c>
      <c r="C75" s="236">
        <v>63</v>
      </c>
      <c r="D75" s="236">
        <v>0</v>
      </c>
      <c r="E75" s="236">
        <v>14</v>
      </c>
      <c r="F75" s="201">
        <v>862</v>
      </c>
      <c r="G75" s="230" t="s">
        <v>49</v>
      </c>
      <c r="H75" s="230" t="s">
        <v>177</v>
      </c>
      <c r="I75" s="230" t="s">
        <v>227</v>
      </c>
      <c r="J75" s="250" t="s">
        <v>213</v>
      </c>
      <c r="K75" s="166" t="s">
        <v>26</v>
      </c>
      <c r="L75" s="87">
        <f>'6.Вед.19-21 '!L74</f>
        <v>852651.71</v>
      </c>
      <c r="M75" s="87">
        <f>'6.Вед.19-21 '!M74</f>
        <v>0</v>
      </c>
      <c r="N75" s="87">
        <f>'6.Вед.19-21 '!N74</f>
        <v>852651.71</v>
      </c>
      <c r="O75" s="87">
        <f>'6.Вед.19-21 '!O74</f>
        <v>521979</v>
      </c>
      <c r="P75" s="87">
        <f>'6.Вед.19-21 '!P74</f>
        <v>589950</v>
      </c>
    </row>
    <row r="76" spans="1:16" s="49" customFormat="1" ht="15.75" customHeight="1">
      <c r="A76" s="385" t="s">
        <v>54</v>
      </c>
      <c r="B76" s="386"/>
      <c r="C76" s="169">
        <v>63</v>
      </c>
      <c r="D76" s="169">
        <v>0</v>
      </c>
      <c r="E76" s="169">
        <v>15</v>
      </c>
      <c r="F76" s="226">
        <v>862</v>
      </c>
      <c r="G76" s="191" t="s">
        <v>50</v>
      </c>
      <c r="H76" s="191"/>
      <c r="I76" s="191"/>
      <c r="J76" s="249"/>
      <c r="K76" s="191"/>
      <c r="L76" s="193">
        <f>L77+L88+L81</f>
        <v>2381876</v>
      </c>
      <c r="M76" s="193">
        <f>M77+M88+M81</f>
        <v>1244100</v>
      </c>
      <c r="N76" s="193">
        <f>N77+N88+N81</f>
        <v>3625976</v>
      </c>
      <c r="O76" s="193">
        <f>O77+O88+O81</f>
        <v>118236</v>
      </c>
      <c r="P76" s="193">
        <f>P77+P88+P81</f>
        <v>146851</v>
      </c>
    </row>
    <row r="77" spans="1:16" s="49" customFormat="1" ht="15" customHeight="1" hidden="1">
      <c r="A77" s="385" t="s">
        <v>67</v>
      </c>
      <c r="B77" s="386"/>
      <c r="C77" s="169">
        <v>63</v>
      </c>
      <c r="D77" s="169">
        <v>0</v>
      </c>
      <c r="E77" s="169">
        <v>15</v>
      </c>
      <c r="F77" s="226">
        <v>862</v>
      </c>
      <c r="G77" s="191" t="s">
        <v>50</v>
      </c>
      <c r="H77" s="191" t="s">
        <v>44</v>
      </c>
      <c r="I77" s="191"/>
      <c r="J77" s="252"/>
      <c r="K77" s="237"/>
      <c r="L77" s="193">
        <f>L78</f>
        <v>300</v>
      </c>
      <c r="M77" s="193">
        <f>M78</f>
        <v>0</v>
      </c>
      <c r="N77" s="193">
        <f>N78</f>
        <v>300</v>
      </c>
      <c r="O77" s="193">
        <f>O78</f>
        <v>300</v>
      </c>
      <c r="P77" s="193">
        <f>P78</f>
        <v>300</v>
      </c>
    </row>
    <row r="78" spans="1:16" s="50" customFormat="1" ht="100.5" customHeight="1" hidden="1">
      <c r="A78" s="381" t="s">
        <v>216</v>
      </c>
      <c r="B78" s="382"/>
      <c r="C78" s="53">
        <v>63</v>
      </c>
      <c r="D78" s="53">
        <v>0</v>
      </c>
      <c r="E78" s="53">
        <v>15</v>
      </c>
      <c r="F78" s="201">
        <v>862</v>
      </c>
      <c r="G78" s="195" t="s">
        <v>50</v>
      </c>
      <c r="H78" s="195" t="s">
        <v>44</v>
      </c>
      <c r="I78" s="230" t="s">
        <v>228</v>
      </c>
      <c r="J78" s="250" t="s">
        <v>215</v>
      </c>
      <c r="K78" s="195"/>
      <c r="L78" s="197">
        <f aca="true" t="shared" si="13" ref="L78:P79">L79</f>
        <v>300</v>
      </c>
      <c r="M78" s="197">
        <f t="shared" si="13"/>
        <v>0</v>
      </c>
      <c r="N78" s="197">
        <f t="shared" si="13"/>
        <v>300</v>
      </c>
      <c r="O78" s="197">
        <f t="shared" si="13"/>
        <v>300</v>
      </c>
      <c r="P78" s="197">
        <f t="shared" si="13"/>
        <v>300</v>
      </c>
    </row>
    <row r="79" spans="1:16" s="50" customFormat="1" ht="25.5" customHeight="1" hidden="1">
      <c r="A79" s="48"/>
      <c r="B79" s="70" t="s">
        <v>197</v>
      </c>
      <c r="C79" s="53">
        <v>63</v>
      </c>
      <c r="D79" s="53">
        <v>0</v>
      </c>
      <c r="E79" s="53">
        <v>15</v>
      </c>
      <c r="F79" s="201">
        <v>862</v>
      </c>
      <c r="G79" s="195" t="s">
        <v>50</v>
      </c>
      <c r="H79" s="195" t="s">
        <v>44</v>
      </c>
      <c r="I79" s="230" t="s">
        <v>228</v>
      </c>
      <c r="J79" s="250" t="s">
        <v>215</v>
      </c>
      <c r="K79" s="195" t="s">
        <v>25</v>
      </c>
      <c r="L79" s="197">
        <f t="shared" si="13"/>
        <v>300</v>
      </c>
      <c r="M79" s="197">
        <f t="shared" si="13"/>
        <v>0</v>
      </c>
      <c r="N79" s="197">
        <f t="shared" si="13"/>
        <v>300</v>
      </c>
      <c r="O79" s="197">
        <f t="shared" si="13"/>
        <v>300</v>
      </c>
      <c r="P79" s="197">
        <f t="shared" si="13"/>
        <v>300</v>
      </c>
    </row>
    <row r="80" spans="1:16" s="50" customFormat="1" ht="25.5" customHeight="1" hidden="1">
      <c r="A80" s="48"/>
      <c r="B80" s="174" t="s">
        <v>94</v>
      </c>
      <c r="C80" s="53">
        <v>63</v>
      </c>
      <c r="D80" s="53">
        <v>0</v>
      </c>
      <c r="E80" s="53">
        <v>15</v>
      </c>
      <c r="F80" s="201">
        <v>862</v>
      </c>
      <c r="G80" s="195" t="s">
        <v>50</v>
      </c>
      <c r="H80" s="195" t="s">
        <v>44</v>
      </c>
      <c r="I80" s="230" t="s">
        <v>228</v>
      </c>
      <c r="J80" s="250" t="s">
        <v>215</v>
      </c>
      <c r="K80" s="195" t="s">
        <v>26</v>
      </c>
      <c r="L80" s="197">
        <f>'6.Вед.19-21 '!L79</f>
        <v>300</v>
      </c>
      <c r="M80" s="197">
        <f>'6.Вед.19-21 '!M79</f>
        <v>0</v>
      </c>
      <c r="N80" s="197">
        <f>'6.Вед.19-21 '!N79</f>
        <v>300</v>
      </c>
      <c r="O80" s="197">
        <f>'6.Вед.19-21 '!O79</f>
        <v>300</v>
      </c>
      <c r="P80" s="197">
        <f>'6.Вед.19-21 '!P79</f>
        <v>300</v>
      </c>
    </row>
    <row r="81" spans="1:16" s="50" customFormat="1" ht="15.75" customHeight="1">
      <c r="A81" s="176"/>
      <c r="B81" s="385" t="s">
        <v>353</v>
      </c>
      <c r="C81" s="386"/>
      <c r="D81" s="53"/>
      <c r="E81" s="53"/>
      <c r="F81" s="226">
        <v>862</v>
      </c>
      <c r="G81" s="191" t="s">
        <v>50</v>
      </c>
      <c r="H81" s="191" t="s">
        <v>45</v>
      </c>
      <c r="I81" s="230"/>
      <c r="J81" s="250"/>
      <c r="K81" s="195"/>
      <c r="L81" s="193">
        <f>L85+L82</f>
        <v>550300</v>
      </c>
      <c r="M81" s="193">
        <f>M85+M82</f>
        <v>740767</v>
      </c>
      <c r="N81" s="193">
        <f>N85+N82</f>
        <v>1291067</v>
      </c>
      <c r="O81" s="193">
        <f>O85</f>
        <v>300</v>
      </c>
      <c r="P81" s="193">
        <f>P85</f>
        <v>300</v>
      </c>
    </row>
    <row r="82" spans="1:16" s="50" customFormat="1" ht="15.75" customHeight="1">
      <c r="A82" s="176"/>
      <c r="B82" s="318" t="s">
        <v>398</v>
      </c>
      <c r="C82" s="311"/>
      <c r="D82" s="53"/>
      <c r="E82" s="53"/>
      <c r="F82" s="226"/>
      <c r="G82" s="195" t="s">
        <v>50</v>
      </c>
      <c r="H82" s="195" t="s">
        <v>45</v>
      </c>
      <c r="I82" s="230"/>
      <c r="J82" s="250" t="s">
        <v>399</v>
      </c>
      <c r="K82" s="195"/>
      <c r="L82" s="197">
        <f aca="true" t="shared" si="14" ref="L82:N83">L83</f>
        <v>550000</v>
      </c>
      <c r="M82" s="197">
        <f t="shared" si="14"/>
        <v>740767</v>
      </c>
      <c r="N82" s="197">
        <f t="shared" si="14"/>
        <v>1290767</v>
      </c>
      <c r="O82" s="193"/>
      <c r="P82" s="193"/>
    </row>
    <row r="83" spans="1:16" s="50" customFormat="1" ht="27.75" customHeight="1">
      <c r="A83" s="176"/>
      <c r="B83" s="70" t="s">
        <v>197</v>
      </c>
      <c r="C83" s="311"/>
      <c r="D83" s="53"/>
      <c r="E83" s="53"/>
      <c r="F83" s="226"/>
      <c r="G83" s="195" t="s">
        <v>50</v>
      </c>
      <c r="H83" s="195" t="s">
        <v>45</v>
      </c>
      <c r="I83" s="230"/>
      <c r="J83" s="250" t="s">
        <v>399</v>
      </c>
      <c r="K83" s="195" t="s">
        <v>25</v>
      </c>
      <c r="L83" s="197">
        <f t="shared" si="14"/>
        <v>550000</v>
      </c>
      <c r="M83" s="197">
        <f t="shared" si="14"/>
        <v>740767</v>
      </c>
      <c r="N83" s="197">
        <f t="shared" si="14"/>
        <v>1290767</v>
      </c>
      <c r="O83" s="193"/>
      <c r="P83" s="193"/>
    </row>
    <row r="84" spans="1:16" s="50" customFormat="1" ht="36" customHeight="1">
      <c r="A84" s="176"/>
      <c r="B84" s="57" t="s">
        <v>94</v>
      </c>
      <c r="C84" s="311"/>
      <c r="D84" s="53"/>
      <c r="E84" s="53"/>
      <c r="F84" s="226"/>
      <c r="G84" s="195" t="s">
        <v>50</v>
      </c>
      <c r="H84" s="195" t="s">
        <v>45</v>
      </c>
      <c r="I84" s="230"/>
      <c r="J84" s="250" t="s">
        <v>399</v>
      </c>
      <c r="K84" s="195" t="s">
        <v>26</v>
      </c>
      <c r="L84" s="197">
        <f>'6.Вед.19-21 '!L83</f>
        <v>550000</v>
      </c>
      <c r="M84" s="197">
        <f>'6.Вед.19-21 '!M83</f>
        <v>740767</v>
      </c>
      <c r="N84" s="197">
        <f>'6.Вед.19-21 '!N83</f>
        <v>1290767</v>
      </c>
      <c r="O84" s="193"/>
      <c r="P84" s="193"/>
    </row>
    <row r="85" spans="1:16" s="50" customFormat="1" ht="78.75" customHeight="1" hidden="1">
      <c r="A85" s="176"/>
      <c r="B85" s="272" t="s">
        <v>377</v>
      </c>
      <c r="C85" s="236"/>
      <c r="D85" s="236"/>
      <c r="E85" s="236"/>
      <c r="F85" s="240">
        <v>862</v>
      </c>
      <c r="G85" s="252" t="s">
        <v>50</v>
      </c>
      <c r="H85" s="252" t="s">
        <v>45</v>
      </c>
      <c r="I85" s="230" t="s">
        <v>228</v>
      </c>
      <c r="J85" s="250" t="s">
        <v>379</v>
      </c>
      <c r="K85" s="195"/>
      <c r="L85" s="197">
        <f aca="true" t="shared" si="15" ref="L85:P86">L86</f>
        <v>300</v>
      </c>
      <c r="M85" s="197">
        <f t="shared" si="15"/>
        <v>0</v>
      </c>
      <c r="N85" s="197">
        <f t="shared" si="15"/>
        <v>300</v>
      </c>
      <c r="O85" s="197">
        <f t="shared" si="15"/>
        <v>300</v>
      </c>
      <c r="P85" s="197">
        <f t="shared" si="15"/>
        <v>300</v>
      </c>
    </row>
    <row r="86" spans="1:16" s="50" customFormat="1" ht="25.5" customHeight="1" hidden="1">
      <c r="A86" s="176"/>
      <c r="B86" s="70" t="s">
        <v>197</v>
      </c>
      <c r="C86" s="236"/>
      <c r="D86" s="236"/>
      <c r="E86" s="236"/>
      <c r="F86" s="240">
        <v>862</v>
      </c>
      <c r="G86" s="252" t="s">
        <v>50</v>
      </c>
      <c r="H86" s="252" t="s">
        <v>45</v>
      </c>
      <c r="I86" s="230" t="s">
        <v>228</v>
      </c>
      <c r="J86" s="250" t="s">
        <v>379</v>
      </c>
      <c r="K86" s="195" t="s">
        <v>25</v>
      </c>
      <c r="L86" s="197">
        <f t="shared" si="15"/>
        <v>300</v>
      </c>
      <c r="M86" s="197">
        <f t="shared" si="15"/>
        <v>0</v>
      </c>
      <c r="N86" s="197">
        <f t="shared" si="15"/>
        <v>300</v>
      </c>
      <c r="O86" s="197">
        <f t="shared" si="15"/>
        <v>300</v>
      </c>
      <c r="P86" s="197">
        <f t="shared" si="15"/>
        <v>300</v>
      </c>
    </row>
    <row r="87" spans="1:16" s="50" customFormat="1" ht="25.5" customHeight="1" hidden="1">
      <c r="A87" s="176"/>
      <c r="B87" s="57" t="s">
        <v>94</v>
      </c>
      <c r="C87" s="236"/>
      <c r="D87" s="236"/>
      <c r="E87" s="236"/>
      <c r="F87" s="240">
        <v>862</v>
      </c>
      <c r="G87" s="252" t="s">
        <v>50</v>
      </c>
      <c r="H87" s="252" t="s">
        <v>45</v>
      </c>
      <c r="I87" s="230" t="s">
        <v>228</v>
      </c>
      <c r="J87" s="250" t="s">
        <v>379</v>
      </c>
      <c r="K87" s="195" t="s">
        <v>26</v>
      </c>
      <c r="L87" s="197">
        <f>'6.Вед.19-21 '!L86</f>
        <v>300</v>
      </c>
      <c r="M87" s="197">
        <f>'6.Вед.19-21 '!M86</f>
        <v>0</v>
      </c>
      <c r="N87" s="197">
        <f>'6.Вед.19-21 '!N86</f>
        <v>300</v>
      </c>
      <c r="O87" s="197">
        <f>'6.Вед.19-21 '!O86</f>
        <v>300</v>
      </c>
      <c r="P87" s="197">
        <f>'6.Вед.19-21 '!P86</f>
        <v>300</v>
      </c>
    </row>
    <row r="88" spans="1:16" s="51" customFormat="1" ht="15" customHeight="1">
      <c r="A88" s="383" t="s">
        <v>68</v>
      </c>
      <c r="B88" s="384"/>
      <c r="C88" s="169">
        <v>63</v>
      </c>
      <c r="D88" s="169">
        <v>0</v>
      </c>
      <c r="E88" s="169">
        <v>15</v>
      </c>
      <c r="F88" s="205">
        <v>862</v>
      </c>
      <c r="G88" s="191" t="s">
        <v>50</v>
      </c>
      <c r="H88" s="191" t="s">
        <v>47</v>
      </c>
      <c r="I88" s="191"/>
      <c r="J88" s="249"/>
      <c r="K88" s="191"/>
      <c r="L88" s="193">
        <f>L89+L95+L92</f>
        <v>1831276</v>
      </c>
      <c r="M88" s="193">
        <f>M89+M95+M92</f>
        <v>503333</v>
      </c>
      <c r="N88" s="193">
        <f>N89+N95+N92</f>
        <v>2334609</v>
      </c>
      <c r="O88" s="193">
        <f>O89+O95+O92</f>
        <v>117636</v>
      </c>
      <c r="P88" s="193">
        <f>P89+P95+P92</f>
        <v>146251</v>
      </c>
    </row>
    <row r="89" spans="1:16" s="50" customFormat="1" ht="15" customHeight="1" hidden="1">
      <c r="A89" s="383" t="s">
        <v>218</v>
      </c>
      <c r="B89" s="384"/>
      <c r="C89" s="169">
        <v>63</v>
      </c>
      <c r="D89" s="169">
        <v>0</v>
      </c>
      <c r="E89" s="169">
        <v>15</v>
      </c>
      <c r="F89" s="205">
        <v>862</v>
      </c>
      <c r="G89" s="191" t="s">
        <v>50</v>
      </c>
      <c r="H89" s="191" t="s">
        <v>47</v>
      </c>
      <c r="I89" s="183" t="s">
        <v>229</v>
      </c>
      <c r="J89" s="262" t="s">
        <v>217</v>
      </c>
      <c r="K89" s="191"/>
      <c r="L89" s="193">
        <f aca="true" t="shared" si="16" ref="L89:P90">L90</f>
        <v>371338</v>
      </c>
      <c r="M89" s="193">
        <f t="shared" si="16"/>
        <v>0</v>
      </c>
      <c r="N89" s="193">
        <f t="shared" si="16"/>
        <v>371338</v>
      </c>
      <c r="O89" s="193">
        <f t="shared" si="16"/>
        <v>106338</v>
      </c>
      <c r="P89" s="193">
        <f t="shared" si="16"/>
        <v>114838</v>
      </c>
    </row>
    <row r="90" spans="1:16" s="50" customFormat="1" ht="28.5" customHeight="1" hidden="1">
      <c r="A90" s="173"/>
      <c r="B90" s="70" t="s">
        <v>197</v>
      </c>
      <c r="C90" s="53">
        <v>63</v>
      </c>
      <c r="D90" s="53">
        <v>0</v>
      </c>
      <c r="E90" s="53">
        <v>15</v>
      </c>
      <c r="F90" s="201">
        <v>862</v>
      </c>
      <c r="G90" s="195" t="s">
        <v>50</v>
      </c>
      <c r="H90" s="195" t="s">
        <v>47</v>
      </c>
      <c r="I90" s="230" t="s">
        <v>229</v>
      </c>
      <c r="J90" s="250" t="s">
        <v>217</v>
      </c>
      <c r="K90" s="195" t="s">
        <v>25</v>
      </c>
      <c r="L90" s="197">
        <f t="shared" si="16"/>
        <v>371338</v>
      </c>
      <c r="M90" s="197">
        <f t="shared" si="16"/>
        <v>0</v>
      </c>
      <c r="N90" s="197">
        <f t="shared" si="16"/>
        <v>371338</v>
      </c>
      <c r="O90" s="197">
        <f t="shared" si="16"/>
        <v>106338</v>
      </c>
      <c r="P90" s="197">
        <f t="shared" si="16"/>
        <v>114838</v>
      </c>
    </row>
    <row r="91" spans="1:16" s="50" customFormat="1" ht="28.5" customHeight="1" hidden="1">
      <c r="A91" s="173"/>
      <c r="B91" s="174" t="s">
        <v>94</v>
      </c>
      <c r="C91" s="53">
        <v>63</v>
      </c>
      <c r="D91" s="53">
        <v>0</v>
      </c>
      <c r="E91" s="53">
        <v>15</v>
      </c>
      <c r="F91" s="201">
        <v>862</v>
      </c>
      <c r="G91" s="195" t="s">
        <v>50</v>
      </c>
      <c r="H91" s="195" t="s">
        <v>47</v>
      </c>
      <c r="I91" s="230" t="s">
        <v>229</v>
      </c>
      <c r="J91" s="250" t="s">
        <v>217</v>
      </c>
      <c r="K91" s="195" t="s">
        <v>26</v>
      </c>
      <c r="L91" s="197">
        <f>'6.Вед.19-21 '!L90</f>
        <v>371338</v>
      </c>
      <c r="M91" s="197">
        <f>'6.Вед.19-21 '!M90</f>
        <v>0</v>
      </c>
      <c r="N91" s="197">
        <f>'6.Вед.19-21 '!N90</f>
        <v>371338</v>
      </c>
      <c r="O91" s="197">
        <f>'6.Вед.19-21 '!O90</f>
        <v>106338</v>
      </c>
      <c r="P91" s="197">
        <f>'6.Вед.19-21 '!P90</f>
        <v>114838</v>
      </c>
    </row>
    <row r="92" spans="1:16" s="50" customFormat="1" ht="17.25" customHeight="1" hidden="1">
      <c r="A92" s="198"/>
      <c r="B92" s="199" t="s">
        <v>352</v>
      </c>
      <c r="C92" s="169"/>
      <c r="D92" s="169"/>
      <c r="E92" s="169"/>
      <c r="F92" s="205">
        <v>862</v>
      </c>
      <c r="G92" s="191" t="s">
        <v>50</v>
      </c>
      <c r="H92" s="191" t="s">
        <v>47</v>
      </c>
      <c r="I92" s="183" t="s">
        <v>309</v>
      </c>
      <c r="J92" s="262" t="s">
        <v>351</v>
      </c>
      <c r="K92" s="191"/>
      <c r="L92" s="193">
        <f aca="true" t="shared" si="17" ref="L92:P93">L93</f>
        <v>61000</v>
      </c>
      <c r="M92" s="193">
        <f t="shared" si="17"/>
        <v>0</v>
      </c>
      <c r="N92" s="193">
        <f t="shared" si="17"/>
        <v>61000</v>
      </c>
      <c r="O92" s="193">
        <f t="shared" si="17"/>
        <v>5000</v>
      </c>
      <c r="P92" s="193">
        <f t="shared" si="17"/>
        <v>10000</v>
      </c>
    </row>
    <row r="93" spans="1:16" s="50" customFormat="1" ht="28.5" customHeight="1" hidden="1">
      <c r="A93" s="198"/>
      <c r="B93" s="70" t="s">
        <v>197</v>
      </c>
      <c r="C93" s="53">
        <v>63</v>
      </c>
      <c r="D93" s="53">
        <v>0</v>
      </c>
      <c r="E93" s="53">
        <v>15</v>
      </c>
      <c r="F93" s="201">
        <v>862</v>
      </c>
      <c r="G93" s="195" t="s">
        <v>50</v>
      </c>
      <c r="H93" s="195" t="s">
        <v>47</v>
      </c>
      <c r="I93" s="230" t="s">
        <v>309</v>
      </c>
      <c r="J93" s="250" t="s">
        <v>351</v>
      </c>
      <c r="K93" s="195" t="s">
        <v>25</v>
      </c>
      <c r="L93" s="197">
        <f t="shared" si="17"/>
        <v>61000</v>
      </c>
      <c r="M93" s="197">
        <f t="shared" si="17"/>
        <v>0</v>
      </c>
      <c r="N93" s="197">
        <f t="shared" si="17"/>
        <v>61000</v>
      </c>
      <c r="O93" s="197">
        <f t="shared" si="17"/>
        <v>5000</v>
      </c>
      <c r="P93" s="197">
        <f t="shared" si="17"/>
        <v>10000</v>
      </c>
    </row>
    <row r="94" spans="1:16" s="50" customFormat="1" ht="28.5" customHeight="1" hidden="1">
      <c r="A94" s="198"/>
      <c r="B94" s="174" t="s">
        <v>94</v>
      </c>
      <c r="C94" s="53">
        <v>63</v>
      </c>
      <c r="D94" s="53">
        <v>0</v>
      </c>
      <c r="E94" s="53">
        <v>15</v>
      </c>
      <c r="F94" s="201">
        <v>862</v>
      </c>
      <c r="G94" s="195" t="s">
        <v>50</v>
      </c>
      <c r="H94" s="195" t="s">
        <v>47</v>
      </c>
      <c r="I94" s="230" t="s">
        <v>309</v>
      </c>
      <c r="J94" s="250" t="s">
        <v>351</v>
      </c>
      <c r="K94" s="195" t="s">
        <v>26</v>
      </c>
      <c r="L94" s="197">
        <f>'6.Вед.19-21 '!L93</f>
        <v>61000</v>
      </c>
      <c r="M94" s="197">
        <f>'6.Вед.19-21 '!M93</f>
        <v>0</v>
      </c>
      <c r="N94" s="197">
        <f>'6.Вед.19-21 '!N93</f>
        <v>61000</v>
      </c>
      <c r="O94" s="197">
        <f>'6.Вед.19-21 '!O93</f>
        <v>5000</v>
      </c>
      <c r="P94" s="197">
        <f>'6.Вед.19-21 '!P93</f>
        <v>10000</v>
      </c>
    </row>
    <row r="95" spans="1:16" s="50" customFormat="1" ht="15" customHeight="1">
      <c r="A95" s="383" t="s">
        <v>100</v>
      </c>
      <c r="B95" s="384"/>
      <c r="C95" s="169">
        <v>63</v>
      </c>
      <c r="D95" s="169">
        <v>0</v>
      </c>
      <c r="E95" s="169">
        <v>15</v>
      </c>
      <c r="F95" s="205">
        <v>862</v>
      </c>
      <c r="G95" s="191" t="s">
        <v>50</v>
      </c>
      <c r="H95" s="191" t="s">
        <v>47</v>
      </c>
      <c r="I95" s="183" t="s">
        <v>309</v>
      </c>
      <c r="J95" s="262" t="s">
        <v>323</v>
      </c>
      <c r="K95" s="191"/>
      <c r="L95" s="193">
        <f aca="true" t="shared" si="18" ref="L95:P96">L96</f>
        <v>1398938</v>
      </c>
      <c r="M95" s="193">
        <f>M96</f>
        <v>503333</v>
      </c>
      <c r="N95" s="193">
        <f t="shared" si="18"/>
        <v>1902271</v>
      </c>
      <c r="O95" s="193">
        <f t="shared" si="18"/>
        <v>6298</v>
      </c>
      <c r="P95" s="193">
        <f t="shared" si="18"/>
        <v>21413</v>
      </c>
    </row>
    <row r="96" spans="1:16" s="50" customFormat="1" ht="15" customHeight="1">
      <c r="A96" s="173"/>
      <c r="B96" s="70" t="s">
        <v>197</v>
      </c>
      <c r="C96" s="53">
        <v>63</v>
      </c>
      <c r="D96" s="53">
        <v>0</v>
      </c>
      <c r="E96" s="53">
        <v>15</v>
      </c>
      <c r="F96" s="201">
        <v>862</v>
      </c>
      <c r="G96" s="195" t="s">
        <v>50</v>
      </c>
      <c r="H96" s="195" t="s">
        <v>47</v>
      </c>
      <c r="I96" s="230" t="s">
        <v>309</v>
      </c>
      <c r="J96" s="250" t="s">
        <v>323</v>
      </c>
      <c r="K96" s="195" t="s">
        <v>25</v>
      </c>
      <c r="L96" s="197">
        <f t="shared" si="18"/>
        <v>1398938</v>
      </c>
      <c r="M96" s="197">
        <f t="shared" si="18"/>
        <v>503333</v>
      </c>
      <c r="N96" s="197">
        <f t="shared" si="18"/>
        <v>1902271</v>
      </c>
      <c r="O96" s="197">
        <f t="shared" si="18"/>
        <v>6298</v>
      </c>
      <c r="P96" s="197">
        <f t="shared" si="18"/>
        <v>21413</v>
      </c>
    </row>
    <row r="97" spans="1:16" ht="14.25" customHeight="1">
      <c r="A97" s="173"/>
      <c r="B97" s="174" t="s">
        <v>94</v>
      </c>
      <c r="C97" s="53">
        <v>63</v>
      </c>
      <c r="D97" s="53">
        <v>0</v>
      </c>
      <c r="E97" s="53">
        <v>15</v>
      </c>
      <c r="F97" s="201">
        <v>862</v>
      </c>
      <c r="G97" s="195" t="s">
        <v>50</v>
      </c>
      <c r="H97" s="195" t="s">
        <v>47</v>
      </c>
      <c r="I97" s="230" t="s">
        <v>309</v>
      </c>
      <c r="J97" s="250" t="s">
        <v>323</v>
      </c>
      <c r="K97" s="195" t="s">
        <v>26</v>
      </c>
      <c r="L97" s="87">
        <f>'6.Вед.19-21 '!L96</f>
        <v>1398938</v>
      </c>
      <c r="M97" s="87">
        <f>'6.Вед.19-21 '!M96</f>
        <v>503333</v>
      </c>
      <c r="N97" s="87">
        <f>'6.Вед.19-21 '!N96</f>
        <v>1902271</v>
      </c>
      <c r="O97" s="87">
        <f>'6.Вед.19-21 '!O96</f>
        <v>6298</v>
      </c>
      <c r="P97" s="87">
        <f>'6.Вед.19-21 '!P96</f>
        <v>21413</v>
      </c>
    </row>
    <row r="98" spans="1:16" ht="14.25" customHeight="1">
      <c r="A98" s="173"/>
      <c r="B98" s="174" t="s">
        <v>155</v>
      </c>
      <c r="C98" s="53">
        <v>63</v>
      </c>
      <c r="D98" s="53">
        <v>0</v>
      </c>
      <c r="E98" s="53"/>
      <c r="F98" s="201">
        <v>863</v>
      </c>
      <c r="G98" s="195" t="s">
        <v>50</v>
      </c>
      <c r="H98" s="195" t="s">
        <v>47</v>
      </c>
      <c r="I98" s="195" t="s">
        <v>99</v>
      </c>
      <c r="J98" s="252" t="s">
        <v>181</v>
      </c>
      <c r="K98" s="195" t="s">
        <v>154</v>
      </c>
      <c r="L98" s="87">
        <v>5000</v>
      </c>
      <c r="M98" s="87">
        <v>5000</v>
      </c>
      <c r="N98" s="87">
        <v>5000</v>
      </c>
      <c r="O98" s="87"/>
      <c r="P98" s="172"/>
    </row>
    <row r="99" spans="1:16" ht="14.25" customHeight="1">
      <c r="A99" s="198"/>
      <c r="B99" s="383" t="s">
        <v>400</v>
      </c>
      <c r="C99" s="384"/>
      <c r="D99" s="53"/>
      <c r="E99" s="53"/>
      <c r="F99" s="201"/>
      <c r="G99" s="191" t="s">
        <v>50</v>
      </c>
      <c r="H99" s="191" t="s">
        <v>47</v>
      </c>
      <c r="I99" s="191"/>
      <c r="J99" s="249" t="s">
        <v>401</v>
      </c>
      <c r="K99" s="191"/>
      <c r="L99" s="87">
        <f aca="true" t="shared" si="19" ref="L99:N100">L100</f>
        <v>450000</v>
      </c>
      <c r="M99" s="87">
        <f t="shared" si="19"/>
        <v>0</v>
      </c>
      <c r="N99" s="87">
        <f t="shared" si="19"/>
        <v>450000</v>
      </c>
      <c r="O99" s="87"/>
      <c r="P99" s="172"/>
    </row>
    <row r="100" spans="1:16" ht="27.75" customHeight="1">
      <c r="A100" s="198"/>
      <c r="B100" s="70" t="s">
        <v>197</v>
      </c>
      <c r="C100" s="70" t="s">
        <v>197</v>
      </c>
      <c r="D100" s="53"/>
      <c r="E100" s="53"/>
      <c r="F100" s="201"/>
      <c r="G100" s="195" t="s">
        <v>50</v>
      </c>
      <c r="H100" s="195" t="s">
        <v>47</v>
      </c>
      <c r="I100" s="195"/>
      <c r="J100" s="252" t="s">
        <v>401</v>
      </c>
      <c r="K100" s="195" t="s">
        <v>25</v>
      </c>
      <c r="L100" s="87">
        <f t="shared" si="19"/>
        <v>450000</v>
      </c>
      <c r="M100" s="87">
        <f t="shared" si="19"/>
        <v>0</v>
      </c>
      <c r="N100" s="87">
        <f t="shared" si="19"/>
        <v>450000</v>
      </c>
      <c r="O100" s="87"/>
      <c r="P100" s="172"/>
    </row>
    <row r="101" spans="1:16" ht="39.75" customHeight="1">
      <c r="A101" s="198"/>
      <c r="B101" s="174" t="s">
        <v>94</v>
      </c>
      <c r="C101" s="174" t="s">
        <v>94</v>
      </c>
      <c r="D101" s="53"/>
      <c r="E101" s="53"/>
      <c r="F101" s="201"/>
      <c r="G101" s="195" t="s">
        <v>50</v>
      </c>
      <c r="H101" s="195" t="s">
        <v>47</v>
      </c>
      <c r="I101" s="195"/>
      <c r="J101" s="252" t="s">
        <v>401</v>
      </c>
      <c r="K101" s="195" t="s">
        <v>26</v>
      </c>
      <c r="L101" s="87">
        <f>'6.Вед.19-21 '!L100</f>
        <v>450000</v>
      </c>
      <c r="M101" s="87">
        <f>'6.Вед.19-21 '!M100</f>
        <v>0</v>
      </c>
      <c r="N101" s="87">
        <f>'6.Вед.19-21 '!N100</f>
        <v>450000</v>
      </c>
      <c r="O101" s="87"/>
      <c r="P101" s="172"/>
    </row>
    <row r="102" spans="1:16" ht="21" customHeight="1">
      <c r="A102" s="198"/>
      <c r="B102" s="325" t="s">
        <v>422</v>
      </c>
      <c r="C102" s="174"/>
      <c r="D102" s="53"/>
      <c r="E102" s="53"/>
      <c r="F102" s="201"/>
      <c r="G102" s="191" t="s">
        <v>58</v>
      </c>
      <c r="H102" s="191"/>
      <c r="I102" s="195"/>
      <c r="J102" s="252"/>
      <c r="K102" s="195"/>
      <c r="L102" s="87">
        <f>L103</f>
        <v>75000</v>
      </c>
      <c r="M102" s="88">
        <f aca="true" t="shared" si="20" ref="M102:N105">M103</f>
        <v>0</v>
      </c>
      <c r="N102" s="88">
        <f t="shared" si="20"/>
        <v>75000</v>
      </c>
      <c r="O102" s="87"/>
      <c r="P102" s="172"/>
    </row>
    <row r="103" spans="1:16" ht="17.25" customHeight="1">
      <c r="A103" s="198"/>
      <c r="B103" s="325" t="s">
        <v>423</v>
      </c>
      <c r="C103" s="174"/>
      <c r="D103" s="53"/>
      <c r="E103" s="53"/>
      <c r="F103" s="201"/>
      <c r="G103" s="191" t="s">
        <v>58</v>
      </c>
      <c r="H103" s="191" t="s">
        <v>44</v>
      </c>
      <c r="I103" s="195"/>
      <c r="J103" s="252"/>
      <c r="K103" s="195"/>
      <c r="L103" s="87">
        <f>L104</f>
        <v>75000</v>
      </c>
      <c r="M103" s="87">
        <f t="shared" si="20"/>
        <v>0</v>
      </c>
      <c r="N103" s="87">
        <f t="shared" si="20"/>
        <v>75000</v>
      </c>
      <c r="O103" s="87"/>
      <c r="P103" s="172"/>
    </row>
    <row r="104" spans="1:16" ht="27" customHeight="1">
      <c r="A104" s="198"/>
      <c r="B104" s="327" t="s">
        <v>425</v>
      </c>
      <c r="C104" s="174"/>
      <c r="D104" s="53"/>
      <c r="E104" s="53"/>
      <c r="F104" s="201"/>
      <c r="G104" s="195" t="s">
        <v>58</v>
      </c>
      <c r="H104" s="195" t="s">
        <v>44</v>
      </c>
      <c r="I104" s="195"/>
      <c r="J104" s="252" t="s">
        <v>426</v>
      </c>
      <c r="K104" s="195"/>
      <c r="L104" s="87">
        <f>L105</f>
        <v>75000</v>
      </c>
      <c r="M104" s="87">
        <f t="shared" si="20"/>
        <v>0</v>
      </c>
      <c r="N104" s="87">
        <f t="shared" si="20"/>
        <v>75000</v>
      </c>
      <c r="O104" s="87"/>
      <c r="P104" s="172"/>
    </row>
    <row r="105" spans="1:16" ht="24.75" customHeight="1">
      <c r="A105" s="198"/>
      <c r="B105" s="329" t="s">
        <v>427</v>
      </c>
      <c r="C105" s="174"/>
      <c r="D105" s="53"/>
      <c r="E105" s="53"/>
      <c r="F105" s="201"/>
      <c r="G105" s="195" t="s">
        <v>58</v>
      </c>
      <c r="H105" s="195" t="s">
        <v>44</v>
      </c>
      <c r="I105" s="195"/>
      <c r="J105" s="252" t="s">
        <v>426</v>
      </c>
      <c r="K105" s="195" t="s">
        <v>428</v>
      </c>
      <c r="L105" s="87">
        <f>L106</f>
        <v>75000</v>
      </c>
      <c r="M105" s="87">
        <f t="shared" si="20"/>
        <v>0</v>
      </c>
      <c r="N105" s="87">
        <f t="shared" si="20"/>
        <v>75000</v>
      </c>
      <c r="O105" s="87"/>
      <c r="P105" s="172"/>
    </row>
    <row r="106" spans="1:16" ht="23.25" customHeight="1">
      <c r="A106" s="198"/>
      <c r="B106" s="177" t="s">
        <v>429</v>
      </c>
      <c r="C106" s="174"/>
      <c r="D106" s="53"/>
      <c r="E106" s="53"/>
      <c r="F106" s="201"/>
      <c r="G106" s="195" t="s">
        <v>58</v>
      </c>
      <c r="H106" s="195" t="s">
        <v>44</v>
      </c>
      <c r="I106" s="195"/>
      <c r="J106" s="252" t="s">
        <v>426</v>
      </c>
      <c r="K106" s="195" t="s">
        <v>430</v>
      </c>
      <c r="L106" s="87">
        <f>75000</f>
        <v>75000</v>
      </c>
      <c r="M106" s="87"/>
      <c r="N106" s="87">
        <f>L106+M106</f>
        <v>75000</v>
      </c>
      <c r="O106" s="87"/>
      <c r="P106" s="172"/>
    </row>
    <row r="107" spans="1:16" ht="13.5" customHeight="1" hidden="1">
      <c r="A107" s="379" t="s">
        <v>57</v>
      </c>
      <c r="B107" s="380"/>
      <c r="C107" s="169">
        <v>63</v>
      </c>
      <c r="D107" s="169">
        <v>0</v>
      </c>
      <c r="E107" s="169">
        <v>18</v>
      </c>
      <c r="F107" s="205">
        <v>862</v>
      </c>
      <c r="G107" s="181" t="s">
        <v>60</v>
      </c>
      <c r="H107" s="181"/>
      <c r="I107" s="181"/>
      <c r="J107" s="183"/>
      <c r="K107" s="181"/>
      <c r="L107" s="88">
        <f aca="true" t="shared" si="21" ref="L107:P110">L108</f>
        <v>4000</v>
      </c>
      <c r="M107" s="88">
        <f t="shared" si="21"/>
        <v>0</v>
      </c>
      <c r="N107" s="88">
        <f t="shared" si="21"/>
        <v>4000</v>
      </c>
      <c r="O107" s="88">
        <f t="shared" si="21"/>
        <v>4000</v>
      </c>
      <c r="P107" s="88">
        <f t="shared" si="21"/>
        <v>4000</v>
      </c>
    </row>
    <row r="108" spans="1:16" ht="13.5" customHeight="1" hidden="1">
      <c r="A108" s="383" t="s">
        <v>129</v>
      </c>
      <c r="B108" s="384"/>
      <c r="C108" s="169">
        <v>63</v>
      </c>
      <c r="D108" s="169">
        <v>0</v>
      </c>
      <c r="E108" s="169">
        <v>18</v>
      </c>
      <c r="F108" s="205">
        <v>862</v>
      </c>
      <c r="G108" s="181" t="s">
        <v>60</v>
      </c>
      <c r="H108" s="181" t="s">
        <v>45</v>
      </c>
      <c r="I108" s="181"/>
      <c r="J108" s="183"/>
      <c r="K108" s="181"/>
      <c r="L108" s="88">
        <f>L109</f>
        <v>4000</v>
      </c>
      <c r="M108" s="88">
        <f t="shared" si="21"/>
        <v>0</v>
      </c>
      <c r="N108" s="88">
        <f t="shared" si="21"/>
        <v>4000</v>
      </c>
      <c r="O108" s="88">
        <f t="shared" si="21"/>
        <v>4000</v>
      </c>
      <c r="P108" s="88">
        <f t="shared" si="21"/>
        <v>4000</v>
      </c>
    </row>
    <row r="109" spans="1:16" ht="98.25" customHeight="1" hidden="1">
      <c r="A109" s="373" t="s">
        <v>220</v>
      </c>
      <c r="B109" s="374"/>
      <c r="C109" s="53">
        <v>63</v>
      </c>
      <c r="D109" s="53">
        <v>0</v>
      </c>
      <c r="E109" s="53">
        <v>18</v>
      </c>
      <c r="F109" s="201">
        <v>862</v>
      </c>
      <c r="G109" s="166" t="s">
        <v>60</v>
      </c>
      <c r="H109" s="166" t="s">
        <v>45</v>
      </c>
      <c r="I109" s="195" t="s">
        <v>230</v>
      </c>
      <c r="J109" s="250" t="s">
        <v>219</v>
      </c>
      <c r="K109" s="166"/>
      <c r="L109" s="87">
        <f>L110</f>
        <v>4000</v>
      </c>
      <c r="M109" s="87">
        <f t="shared" si="21"/>
        <v>0</v>
      </c>
      <c r="N109" s="87">
        <f t="shared" si="21"/>
        <v>4000</v>
      </c>
      <c r="O109" s="87">
        <f t="shared" si="21"/>
        <v>4000</v>
      </c>
      <c r="P109" s="87">
        <f t="shared" si="21"/>
        <v>4000</v>
      </c>
    </row>
    <row r="110" spans="1:16" ht="17.25" customHeight="1" hidden="1">
      <c r="A110" s="173"/>
      <c r="B110" s="177" t="s">
        <v>59</v>
      </c>
      <c r="C110" s="53">
        <v>63</v>
      </c>
      <c r="D110" s="53">
        <v>0</v>
      </c>
      <c r="E110" s="53">
        <v>18</v>
      </c>
      <c r="F110" s="201">
        <v>862</v>
      </c>
      <c r="G110" s="166" t="s">
        <v>60</v>
      </c>
      <c r="H110" s="166" t="s">
        <v>45</v>
      </c>
      <c r="I110" s="195" t="s">
        <v>230</v>
      </c>
      <c r="J110" s="250" t="s">
        <v>219</v>
      </c>
      <c r="K110" s="166" t="s">
        <v>46</v>
      </c>
      <c r="L110" s="87">
        <f>L111</f>
        <v>4000</v>
      </c>
      <c r="M110" s="87">
        <f t="shared" si="21"/>
        <v>0</v>
      </c>
      <c r="N110" s="87">
        <f t="shared" si="21"/>
        <v>4000</v>
      </c>
      <c r="O110" s="87">
        <f t="shared" si="21"/>
        <v>4000</v>
      </c>
      <c r="P110" s="87">
        <f t="shared" si="21"/>
        <v>4000</v>
      </c>
    </row>
    <row r="111" spans="1:16" ht="13.5" customHeight="1" hidden="1">
      <c r="A111" s="173"/>
      <c r="B111" s="178" t="s">
        <v>69</v>
      </c>
      <c r="C111" s="53">
        <v>63</v>
      </c>
      <c r="D111" s="53">
        <v>0</v>
      </c>
      <c r="E111" s="53">
        <v>18</v>
      </c>
      <c r="F111" s="201">
        <v>862</v>
      </c>
      <c r="G111" s="166" t="s">
        <v>60</v>
      </c>
      <c r="H111" s="166" t="s">
        <v>45</v>
      </c>
      <c r="I111" s="195" t="s">
        <v>230</v>
      </c>
      <c r="J111" s="250" t="s">
        <v>219</v>
      </c>
      <c r="K111" s="230" t="s">
        <v>32</v>
      </c>
      <c r="L111" s="87">
        <f>'6.Вед.19-21 '!L110</f>
        <v>4000</v>
      </c>
      <c r="M111" s="87">
        <f>'6.Вед.19-21 '!M110</f>
        <v>0</v>
      </c>
      <c r="N111" s="87">
        <f>'6.Вед.19-21 '!N110</f>
        <v>4000</v>
      </c>
      <c r="O111" s="87">
        <f>'6.Вед.19-21 '!O110</f>
        <v>4000</v>
      </c>
      <c r="P111" s="87">
        <f>'6.Вед.19-21 '!P110</f>
        <v>4000</v>
      </c>
    </row>
    <row r="112" spans="1:16" s="39" customFormat="1" ht="18" customHeight="1" hidden="1">
      <c r="A112" s="375" t="s">
        <v>34</v>
      </c>
      <c r="B112" s="376"/>
      <c r="C112" s="169">
        <v>70</v>
      </c>
      <c r="D112" s="169">
        <v>0</v>
      </c>
      <c r="E112" s="169"/>
      <c r="F112" s="205">
        <v>862</v>
      </c>
      <c r="G112" s="181" t="s">
        <v>35</v>
      </c>
      <c r="H112" s="181"/>
      <c r="I112" s="181"/>
      <c r="J112" s="253"/>
      <c r="K112" s="238"/>
      <c r="L112" s="216">
        <f>L113</f>
        <v>0</v>
      </c>
      <c r="M112" s="216">
        <f aca="true" t="shared" si="22" ref="M112:N114">M113</f>
        <v>0</v>
      </c>
      <c r="N112" s="216">
        <f t="shared" si="22"/>
        <v>0</v>
      </c>
      <c r="O112" s="216">
        <f aca="true" t="shared" si="23" ref="O112:P114">O113</f>
        <v>37015</v>
      </c>
      <c r="P112" s="217">
        <f t="shared" si="23"/>
        <v>75500</v>
      </c>
    </row>
    <row r="113" spans="1:16" ht="18" customHeight="1" hidden="1">
      <c r="A113" s="377" t="s">
        <v>34</v>
      </c>
      <c r="B113" s="378"/>
      <c r="C113" s="53">
        <v>70</v>
      </c>
      <c r="D113" s="53">
        <v>0</v>
      </c>
      <c r="E113" s="53"/>
      <c r="F113" s="201">
        <v>862</v>
      </c>
      <c r="G113" s="166" t="s">
        <v>35</v>
      </c>
      <c r="H113" s="166" t="s">
        <v>35</v>
      </c>
      <c r="I113" s="166"/>
      <c r="J113" s="230"/>
      <c r="K113" s="166"/>
      <c r="L113" s="87">
        <f>L114</f>
        <v>0</v>
      </c>
      <c r="M113" s="87">
        <f t="shared" si="22"/>
        <v>0</v>
      </c>
      <c r="N113" s="87">
        <f t="shared" si="22"/>
        <v>0</v>
      </c>
      <c r="O113" s="87">
        <f t="shared" si="23"/>
        <v>37015</v>
      </c>
      <c r="P113" s="172">
        <f t="shared" si="23"/>
        <v>75500</v>
      </c>
    </row>
    <row r="114" spans="1:16" ht="18" customHeight="1" hidden="1">
      <c r="A114" s="173"/>
      <c r="B114" s="198" t="s">
        <v>34</v>
      </c>
      <c r="C114" s="53">
        <v>70</v>
      </c>
      <c r="D114" s="53">
        <v>0</v>
      </c>
      <c r="E114" s="53"/>
      <c r="F114" s="201">
        <v>862</v>
      </c>
      <c r="G114" s="207">
        <v>99</v>
      </c>
      <c r="H114" s="166" t="s">
        <v>35</v>
      </c>
      <c r="I114" s="166" t="s">
        <v>101</v>
      </c>
      <c r="J114" s="268" t="s">
        <v>361</v>
      </c>
      <c r="K114" s="166"/>
      <c r="L114" s="87">
        <f>L115</f>
        <v>0</v>
      </c>
      <c r="M114" s="87">
        <f t="shared" si="22"/>
        <v>0</v>
      </c>
      <c r="N114" s="87">
        <f t="shared" si="22"/>
        <v>0</v>
      </c>
      <c r="O114" s="87">
        <f t="shared" si="23"/>
        <v>37015</v>
      </c>
      <c r="P114" s="172">
        <f t="shared" si="23"/>
        <v>75500</v>
      </c>
    </row>
    <row r="115" spans="1:16" ht="18" customHeight="1" hidden="1">
      <c r="A115" s="173"/>
      <c r="B115" s="198" t="s">
        <v>34</v>
      </c>
      <c r="C115" s="53">
        <v>70</v>
      </c>
      <c r="D115" s="53">
        <v>0</v>
      </c>
      <c r="E115" s="53"/>
      <c r="F115" s="201">
        <v>862</v>
      </c>
      <c r="G115" s="207">
        <v>99</v>
      </c>
      <c r="H115" s="166" t="s">
        <v>35</v>
      </c>
      <c r="I115" s="166" t="s">
        <v>101</v>
      </c>
      <c r="J115" s="268" t="s">
        <v>361</v>
      </c>
      <c r="K115" s="166" t="s">
        <v>362</v>
      </c>
      <c r="L115" s="274">
        <f>'6.Вед.19-21 '!L114</f>
        <v>0</v>
      </c>
      <c r="M115" s="274">
        <f>'6.Вед.19-21 '!M114</f>
        <v>0</v>
      </c>
      <c r="N115" s="274">
        <f>'6.Вед.19-21 '!N114</f>
        <v>0</v>
      </c>
      <c r="O115" s="87">
        <f>'6.Вед.19-21 '!O114</f>
        <v>37015</v>
      </c>
      <c r="P115" s="87">
        <f>'6.Вед.19-21 '!P114</f>
        <v>75500</v>
      </c>
    </row>
    <row r="116" spans="1:16" ht="14.25" customHeight="1">
      <c r="A116" s="212"/>
      <c r="B116" s="218" t="s">
        <v>33</v>
      </c>
      <c r="C116" s="218"/>
      <c r="D116" s="218"/>
      <c r="E116" s="218"/>
      <c r="F116" s="201"/>
      <c r="G116" s="181"/>
      <c r="H116" s="181"/>
      <c r="I116" s="181"/>
      <c r="J116" s="250"/>
      <c r="K116" s="181"/>
      <c r="L116" s="88">
        <f>L17+L24+L26+L28+L31+L34+L38+L41+L45+L56+L57+L70+L75+L80+L87+L91+L94+L97+L111+L115+L53+L84+L101+L106</f>
        <v>5387226.71</v>
      </c>
      <c r="M116" s="88">
        <f>M17+M24+M26+M28+M31+M34+M38+M41+M45+M56+M57+M70+M75+M80+M87+M91+M94+M97+M111+M115+M53+M84+M101+M102+M21</f>
        <v>1294018.9999999998</v>
      </c>
      <c r="N116" s="88">
        <f>N17+N24+N26+N28+N31+N34+N38+N41+N45+N56+N57+N70+N75+N80+N87+N91+N94+N97+N111+N115+N53+N84+N101+N102+N21</f>
        <v>6681245.71</v>
      </c>
      <c r="O116" s="88">
        <f>O17+O24+O26+O28+O31+O34+O38+O41+O45+O56+O57+O70+O75+O80+O87+O91+O94+O97+O111+O115</f>
        <v>2136979</v>
      </c>
      <c r="P116" s="88">
        <f>P17+P24+P26+P28+P31+P34+P38+P41+P45+P56+P57+P70+P75+P80+P87+P91+P94+P97+P111+P115</f>
        <v>2233550</v>
      </c>
    </row>
    <row r="117" spans="6:10" ht="14.25">
      <c r="F117" s="308"/>
      <c r="J117" s="239"/>
    </row>
    <row r="118" spans="6:16" ht="14.25" hidden="1">
      <c r="F118" s="308"/>
      <c r="J118" s="239"/>
      <c r="L118" s="219">
        <f>L17+L24+L26+L28+L29+L32+L36+L39+L50+L57+L73+L77+L88+L107+L42+L64</f>
        <v>4311926.71</v>
      </c>
      <c r="M118" s="219"/>
      <c r="N118" s="219"/>
      <c r="O118" s="263">
        <v>2457390</v>
      </c>
      <c r="P118" s="263">
        <v>2602762</v>
      </c>
    </row>
    <row r="119" spans="6:16" ht="14.25" hidden="1">
      <c r="F119" s="308"/>
      <c r="J119" s="239"/>
      <c r="L119" s="219">
        <f>'[1]1. Дох.'!C46-'7.Функ.19-21'!L116</f>
        <v>-2285147.3499999996</v>
      </c>
      <c r="M119" s="219"/>
      <c r="N119" s="219"/>
      <c r="O119" s="219">
        <f>'[1]1. Дох.'!D46-'7.Функ.19-21'!O116</f>
        <v>1159999.9299999997</v>
      </c>
      <c r="P119" s="219">
        <f>'[1]1. Дох.'!E46-'7.Функ.19-21'!P116</f>
        <v>1250948.67</v>
      </c>
    </row>
    <row r="120" spans="6:10" ht="14.25" hidden="1">
      <c r="F120" s="308"/>
      <c r="J120" s="239"/>
    </row>
    <row r="121" spans="6:16" ht="14.25" hidden="1">
      <c r="F121" s="308"/>
      <c r="J121" s="239"/>
      <c r="L121" s="265">
        <f>2338267-L116</f>
        <v>-3048959.71</v>
      </c>
      <c r="M121" s="265"/>
      <c r="N121" s="265"/>
      <c r="O121" s="265">
        <f>O118-O116</f>
        <v>320411</v>
      </c>
      <c r="P121" s="265">
        <f>P118-P116</f>
        <v>369212</v>
      </c>
    </row>
    <row r="122" spans="6:10" ht="14.25" hidden="1">
      <c r="F122" s="308"/>
      <c r="J122" s="239"/>
    </row>
    <row r="123" spans="6:16" ht="14.25" hidden="1">
      <c r="F123" s="308"/>
      <c r="J123" s="239" t="s">
        <v>355</v>
      </c>
      <c r="L123" s="40" t="s">
        <v>354</v>
      </c>
      <c r="O123" s="32">
        <v>1369000</v>
      </c>
      <c r="P123" s="32">
        <v>1369000</v>
      </c>
    </row>
    <row r="124" spans="6:16" ht="14.25" hidden="1">
      <c r="F124" s="308"/>
      <c r="J124" s="239" t="s">
        <v>356</v>
      </c>
      <c r="L124" s="264">
        <f>L123-L17-L24-L26-L27-L57</f>
        <v>-100299</v>
      </c>
      <c r="M124" s="264"/>
      <c r="N124" s="264"/>
      <c r="O124" s="264">
        <f>O123-O17-O24-O26-O27-O57</f>
        <v>-50949</v>
      </c>
      <c r="P124" s="264">
        <f>P123-P17-P24-P26-P27-P57</f>
        <v>-12449</v>
      </c>
    </row>
    <row r="125" spans="6:10" ht="14.25">
      <c r="F125" s="308"/>
      <c r="J125" s="239"/>
    </row>
    <row r="126" spans="6:17" ht="14.25">
      <c r="F126" s="308"/>
      <c r="J126" s="239"/>
      <c r="L126" s="307"/>
      <c r="M126" s="307"/>
      <c r="N126" s="307"/>
      <c r="O126" s="307"/>
      <c r="P126" s="307"/>
      <c r="Q126" s="307"/>
    </row>
    <row r="127" ht="14.25">
      <c r="J127" s="239"/>
    </row>
    <row r="128" ht="14.25">
      <c r="J128" s="239"/>
    </row>
    <row r="129" ht="14.25">
      <c r="J129" s="239"/>
    </row>
    <row r="130" ht="14.25">
      <c r="J130" s="239"/>
    </row>
    <row r="131" ht="14.25">
      <c r="J131" s="239"/>
    </row>
    <row r="132" ht="14.25">
      <c r="J132" s="239"/>
    </row>
    <row r="133" ht="14.25">
      <c r="J133" s="239"/>
    </row>
    <row r="134" ht="14.25">
      <c r="J134" s="239"/>
    </row>
    <row r="135" ht="14.25">
      <c r="J135" s="239"/>
    </row>
    <row r="136" ht="14.25">
      <c r="J136" s="239"/>
    </row>
    <row r="137" ht="14.25">
      <c r="J137" s="239"/>
    </row>
    <row r="138" ht="14.25">
      <c r="J138" s="239"/>
    </row>
    <row r="139" ht="14.25">
      <c r="J139" s="239"/>
    </row>
    <row r="140" ht="14.25">
      <c r="J140" s="239"/>
    </row>
    <row r="141" ht="14.25">
      <c r="J141" s="239"/>
    </row>
    <row r="142" ht="14.25">
      <c r="J142" s="239"/>
    </row>
    <row r="143" ht="14.25">
      <c r="J143" s="239"/>
    </row>
    <row r="144" ht="14.25">
      <c r="J144" s="239"/>
    </row>
    <row r="145" ht="14.25">
      <c r="J145" s="239"/>
    </row>
    <row r="146" ht="14.25">
      <c r="J146" s="239"/>
    </row>
    <row r="147" ht="14.25">
      <c r="J147" s="239"/>
    </row>
    <row r="148" ht="14.25">
      <c r="J148" s="239"/>
    </row>
    <row r="149" ht="14.25">
      <c r="J149" s="239"/>
    </row>
    <row r="150" ht="14.25">
      <c r="J150" s="239"/>
    </row>
    <row r="151" ht="14.25">
      <c r="J151" s="239"/>
    </row>
    <row r="152" ht="14.25">
      <c r="J152" s="239"/>
    </row>
    <row r="153" ht="14.25">
      <c r="J153" s="239"/>
    </row>
  </sheetData>
  <sheetProtection/>
  <mergeCells count="31">
    <mergeCell ref="A113:B113"/>
    <mergeCell ref="A78:B78"/>
    <mergeCell ref="B81:C81"/>
    <mergeCell ref="A88:B88"/>
    <mergeCell ref="A89:B89"/>
    <mergeCell ref="A108:B108"/>
    <mergeCell ref="B99:C99"/>
    <mergeCell ref="F2:P2"/>
    <mergeCell ref="F3:L3"/>
    <mergeCell ref="F4:P4"/>
    <mergeCell ref="A10:B10"/>
    <mergeCell ref="A13:B13"/>
    <mergeCell ref="A77:B77"/>
    <mergeCell ref="A18:B18"/>
    <mergeCell ref="A46:B46"/>
    <mergeCell ref="A71:B71"/>
    <mergeCell ref="A22:B22"/>
    <mergeCell ref="A72:B72"/>
    <mergeCell ref="A73:B73"/>
    <mergeCell ref="A76:B76"/>
    <mergeCell ref="A112:B112"/>
    <mergeCell ref="A109:B109"/>
    <mergeCell ref="A107:B107"/>
    <mergeCell ref="A95:B95"/>
    <mergeCell ref="G5:O5"/>
    <mergeCell ref="A54:B54"/>
    <mergeCell ref="A8:Q8"/>
    <mergeCell ref="A14:B14"/>
    <mergeCell ref="G6:Q6"/>
    <mergeCell ref="A47:B47"/>
    <mergeCell ref="A50:B50"/>
  </mergeCells>
  <printOptions/>
  <pageMargins left="0.7480314960629921" right="0.5118110236220472" top="0.31496062992125984" bottom="0.31496062992125984" header="0.6692913385826772" footer="0.5511811023622047"/>
  <pageSetup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7"/>
  <sheetViews>
    <sheetView workbookViewId="0" topLeftCell="B1">
      <selection activeCell="L8" sqref="L8"/>
    </sheetView>
  </sheetViews>
  <sheetFormatPr defaultColWidth="9.140625" defaultRowHeight="12.75"/>
  <cols>
    <col min="1" max="1" width="2.28125" style="32" hidden="1" customWidth="1"/>
    <col min="2" max="2" width="45.140625" style="33" customWidth="1"/>
    <col min="3" max="3" width="3.7109375" style="33" customWidth="1"/>
    <col min="4" max="4" width="2.8515625" style="33" customWidth="1"/>
    <col min="5" max="5" width="4.140625" style="33" customWidth="1"/>
    <col min="6" max="6" width="4.7109375" style="243" customWidth="1"/>
    <col min="7" max="7" width="6.140625" style="239" customWidth="1"/>
    <col min="8" max="8" width="10.7109375" style="239" hidden="1" customWidth="1"/>
    <col min="9" max="9" width="4.421875" style="40" customWidth="1"/>
    <col min="10" max="11" width="13.140625" style="40" hidden="1" customWidth="1"/>
    <col min="12" max="12" width="13.140625" style="40" customWidth="1"/>
    <col min="13" max="14" width="12.140625" style="32" hidden="1" customWidth="1"/>
    <col min="15" max="16" width="9.140625" style="32" customWidth="1"/>
    <col min="17" max="17" width="4.421875" style="32" customWidth="1"/>
    <col min="18" max="16384" width="9.140625" style="32" customWidth="1"/>
  </cols>
  <sheetData>
    <row r="1" spans="3:14" ht="16.5" customHeight="1">
      <c r="C1" s="403" t="s">
        <v>232</v>
      </c>
      <c r="D1" s="403"/>
      <c r="E1" s="403"/>
      <c r="F1" s="403"/>
      <c r="G1" s="403"/>
      <c r="H1" s="403"/>
      <c r="I1" s="403"/>
      <c r="J1" s="403"/>
      <c r="K1" s="42"/>
      <c r="L1" s="42"/>
      <c r="M1" s="42"/>
      <c r="N1" s="42"/>
    </row>
    <row r="2" spans="3:15" ht="51.75" customHeight="1">
      <c r="C2" s="397" t="s">
        <v>409</v>
      </c>
      <c r="D2" s="397"/>
      <c r="E2" s="397"/>
      <c r="F2" s="397"/>
      <c r="G2" s="397"/>
      <c r="H2" s="397"/>
      <c r="I2" s="397"/>
      <c r="J2" s="397"/>
      <c r="K2" s="397"/>
      <c r="L2" s="397"/>
      <c r="M2" s="321"/>
      <c r="N2" s="321"/>
      <c r="O2" s="321"/>
    </row>
    <row r="3" spans="3:14" ht="15.75" customHeight="1">
      <c r="C3" s="403" t="s">
        <v>421</v>
      </c>
      <c r="D3" s="403"/>
      <c r="E3" s="403"/>
      <c r="F3" s="403"/>
      <c r="G3" s="403"/>
      <c r="H3" s="403"/>
      <c r="I3" s="403"/>
      <c r="J3" s="403"/>
      <c r="K3" s="42"/>
      <c r="L3" s="42"/>
      <c r="M3" s="116"/>
      <c r="N3" s="116"/>
    </row>
    <row r="4" spans="3:15" ht="36.75" customHeight="1">
      <c r="C4" s="394" t="s">
        <v>393</v>
      </c>
      <c r="D4" s="394"/>
      <c r="E4" s="394"/>
      <c r="F4" s="394"/>
      <c r="G4" s="394"/>
      <c r="H4" s="394"/>
      <c r="I4" s="394"/>
      <c r="J4" s="394"/>
      <c r="K4" s="394"/>
      <c r="L4" s="394"/>
      <c r="M4" s="322"/>
      <c r="N4" s="322"/>
      <c r="O4" s="322"/>
    </row>
    <row r="5" spans="6:14" ht="5.25" customHeight="1">
      <c r="F5" s="14"/>
      <c r="G5" s="43"/>
      <c r="H5" s="43"/>
      <c r="I5" s="43"/>
      <c r="J5" s="43"/>
      <c r="K5" s="43"/>
      <c r="L5" s="43"/>
      <c r="M5" s="43"/>
      <c r="N5" s="43"/>
    </row>
    <row r="6" spans="1:17" ht="54" customHeight="1">
      <c r="A6" s="402" t="s">
        <v>405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255"/>
      <c r="P6" s="255"/>
      <c r="Q6" s="255"/>
    </row>
    <row r="7" spans="1:14" ht="12.75" customHeight="1">
      <c r="A7" s="34"/>
      <c r="B7" s="34"/>
      <c r="C7" s="37"/>
      <c r="D7" s="37"/>
      <c r="E7" s="37"/>
      <c r="F7" s="161"/>
      <c r="G7" s="34"/>
      <c r="H7" s="34"/>
      <c r="I7" s="34"/>
      <c r="L7" s="221" t="s">
        <v>292</v>
      </c>
      <c r="M7" s="34"/>
      <c r="N7" s="221" t="s">
        <v>292</v>
      </c>
    </row>
    <row r="8" spans="1:14" s="45" customFormat="1" ht="21.75" customHeight="1">
      <c r="A8" s="405" t="s">
        <v>38</v>
      </c>
      <c r="B8" s="405"/>
      <c r="C8" s="41" t="s">
        <v>202</v>
      </c>
      <c r="D8" s="41" t="s">
        <v>203</v>
      </c>
      <c r="E8" s="162" t="s">
        <v>221</v>
      </c>
      <c r="F8" s="41" t="s">
        <v>390</v>
      </c>
      <c r="G8" s="163" t="s">
        <v>87</v>
      </c>
      <c r="H8" s="163" t="s">
        <v>41</v>
      </c>
      <c r="I8" s="163" t="s">
        <v>42</v>
      </c>
      <c r="J8" s="279" t="s">
        <v>395</v>
      </c>
      <c r="K8" s="279" t="s">
        <v>396</v>
      </c>
      <c r="L8" s="279" t="s">
        <v>437</v>
      </c>
      <c r="M8" s="44">
        <v>2020</v>
      </c>
      <c r="N8" s="44">
        <v>2021</v>
      </c>
    </row>
    <row r="9" spans="1:14" s="45" customFormat="1" ht="36.75" customHeight="1">
      <c r="A9" s="53"/>
      <c r="B9" s="256" t="s">
        <v>391</v>
      </c>
      <c r="C9" s="164">
        <v>62</v>
      </c>
      <c r="D9" s="53"/>
      <c r="E9" s="53"/>
      <c r="F9" s="165"/>
      <c r="G9" s="166"/>
      <c r="H9" s="166"/>
      <c r="I9" s="166"/>
      <c r="J9" s="90">
        <f>J10+J46+J53+J60+J65+J93</f>
        <v>4227626.71</v>
      </c>
      <c r="K9" s="90">
        <f>K10+K46+K53+K60+K65+K93+K88</f>
        <v>1294019</v>
      </c>
      <c r="L9" s="90">
        <f>L10+L46+L53+L60+L65+L93+L92</f>
        <v>6674645.71</v>
      </c>
      <c r="M9" s="90">
        <f>M10+M46+M53+M60+M65+M93</f>
        <v>2099964</v>
      </c>
      <c r="N9" s="90">
        <f>N10+N46+N53+N60+N65+N93</f>
        <v>2158050</v>
      </c>
    </row>
    <row r="10" spans="1:14" s="45" customFormat="1" ht="28.5" customHeight="1">
      <c r="A10" s="53"/>
      <c r="B10" s="167" t="s">
        <v>291</v>
      </c>
      <c r="C10" s="168">
        <v>62</v>
      </c>
      <c r="D10" s="169">
        <v>0</v>
      </c>
      <c r="E10" s="169">
        <v>11</v>
      </c>
      <c r="F10" s="168"/>
      <c r="G10" s="166"/>
      <c r="H10" s="166"/>
      <c r="I10" s="166"/>
      <c r="J10" s="89">
        <f>J11</f>
        <v>1409794</v>
      </c>
      <c r="K10" s="89">
        <f>K11</f>
        <v>49919</v>
      </c>
      <c r="L10" s="89">
        <f>L11</f>
        <v>1537712.9999999998</v>
      </c>
      <c r="M10" s="89">
        <f>M11</f>
        <v>1356444</v>
      </c>
      <c r="N10" s="89">
        <f>N11</f>
        <v>1317944</v>
      </c>
    </row>
    <row r="11" spans="1:14" s="45" customFormat="1" ht="17.25" customHeight="1">
      <c r="A11" s="53"/>
      <c r="B11" s="170" t="s">
        <v>199</v>
      </c>
      <c r="C11" s="169">
        <v>62</v>
      </c>
      <c r="D11" s="169">
        <v>0</v>
      </c>
      <c r="E11" s="169">
        <v>11</v>
      </c>
      <c r="F11" s="168">
        <v>862</v>
      </c>
      <c r="G11" s="166"/>
      <c r="H11" s="166"/>
      <c r="I11" s="166"/>
      <c r="J11" s="89">
        <f>J14+J20+J22+J24+J27+J33+J36+J42+J45+J17</f>
        <v>1409794</v>
      </c>
      <c r="K11" s="89">
        <f>K14+K20+K22+K24+K27+K33+K36+K42+K45+K30+K15</f>
        <v>49919</v>
      </c>
      <c r="L11" s="89">
        <f>L14+L20+L22+L24+L27+L33+L36+L42+L45+L30+L15</f>
        <v>1537712.9999999998</v>
      </c>
      <c r="M11" s="89">
        <f>M14+M20+M22+M24+M27+M33+M36+M42+M45</f>
        <v>1356444</v>
      </c>
      <c r="N11" s="89">
        <f>N14+N20+N22+N24+N27+N33+N36+N42+N45</f>
        <v>1317944</v>
      </c>
    </row>
    <row r="12" spans="1:14" ht="27" customHeight="1">
      <c r="A12" s="56" t="s">
        <v>90</v>
      </c>
      <c r="B12" s="171" t="s">
        <v>206</v>
      </c>
      <c r="C12" s="53">
        <v>62</v>
      </c>
      <c r="D12" s="53">
        <v>0</v>
      </c>
      <c r="E12" s="53">
        <v>11</v>
      </c>
      <c r="F12" s="201">
        <v>862</v>
      </c>
      <c r="G12" s="195" t="s">
        <v>222</v>
      </c>
      <c r="H12" s="228" t="s">
        <v>293</v>
      </c>
      <c r="I12" s="229" t="s">
        <v>91</v>
      </c>
      <c r="J12" s="87">
        <f aca="true" t="shared" si="0" ref="J12:N13">J13</f>
        <v>447300</v>
      </c>
      <c r="K12" s="87">
        <f t="shared" si="0"/>
        <v>-103869.39</v>
      </c>
      <c r="L12" s="87">
        <f t="shared" si="0"/>
        <v>343430.61</v>
      </c>
      <c r="M12" s="87">
        <f t="shared" si="0"/>
        <v>447300</v>
      </c>
      <c r="N12" s="87">
        <f t="shared" si="0"/>
        <v>447300</v>
      </c>
    </row>
    <row r="13" spans="1:14" ht="48.75" customHeight="1">
      <c r="A13" s="48" t="s">
        <v>89</v>
      </c>
      <c r="B13" s="48" t="s">
        <v>89</v>
      </c>
      <c r="C13" s="53">
        <v>62</v>
      </c>
      <c r="D13" s="53">
        <v>0</v>
      </c>
      <c r="E13" s="53">
        <v>11</v>
      </c>
      <c r="F13" s="201">
        <v>862</v>
      </c>
      <c r="G13" s="195" t="s">
        <v>222</v>
      </c>
      <c r="H13" s="228" t="s">
        <v>293</v>
      </c>
      <c r="I13" s="228" t="s">
        <v>23</v>
      </c>
      <c r="J13" s="87">
        <f t="shared" si="0"/>
        <v>447300</v>
      </c>
      <c r="K13" s="87">
        <f t="shared" si="0"/>
        <v>-103869.39</v>
      </c>
      <c r="L13" s="87">
        <f t="shared" si="0"/>
        <v>343430.61</v>
      </c>
      <c r="M13" s="87">
        <f t="shared" si="0"/>
        <v>447300</v>
      </c>
      <c r="N13" s="87">
        <f t="shared" si="0"/>
        <v>447300</v>
      </c>
    </row>
    <row r="14" spans="1:14" ht="25.5" customHeight="1">
      <c r="A14" s="48" t="s">
        <v>92</v>
      </c>
      <c r="B14" s="48" t="s">
        <v>92</v>
      </c>
      <c r="C14" s="53">
        <v>62</v>
      </c>
      <c r="D14" s="53">
        <v>0</v>
      </c>
      <c r="E14" s="53">
        <v>11</v>
      </c>
      <c r="F14" s="201">
        <v>862</v>
      </c>
      <c r="G14" s="195" t="s">
        <v>222</v>
      </c>
      <c r="H14" s="228" t="s">
        <v>293</v>
      </c>
      <c r="I14" s="228" t="s">
        <v>24</v>
      </c>
      <c r="J14" s="87">
        <f>'6.Вед.19-21 '!L16</f>
        <v>447300</v>
      </c>
      <c r="K14" s="87">
        <f>'6.Вед.19-21 '!M16</f>
        <v>-103869.39</v>
      </c>
      <c r="L14" s="87">
        <f>'6.Вед.19-21 '!N16</f>
        <v>343430.61</v>
      </c>
      <c r="M14" s="87">
        <f>'6.Вед.19-21 '!O16</f>
        <v>447300</v>
      </c>
      <c r="N14" s="87">
        <f>'6.Вед.19-21 '!P16</f>
        <v>447300</v>
      </c>
    </row>
    <row r="15" spans="1:14" ht="43.5" customHeight="1">
      <c r="A15" s="176"/>
      <c r="B15" s="330" t="s">
        <v>435</v>
      </c>
      <c r="C15" s="53">
        <v>62</v>
      </c>
      <c r="D15" s="53">
        <v>0</v>
      </c>
      <c r="E15" s="53">
        <v>11</v>
      </c>
      <c r="F15" s="201">
        <v>862</v>
      </c>
      <c r="G15" s="195" t="s">
        <v>320</v>
      </c>
      <c r="H15" s="228"/>
      <c r="I15" s="228"/>
      <c r="J15" s="87"/>
      <c r="K15" s="87">
        <f>K16</f>
        <v>122788.39</v>
      </c>
      <c r="L15" s="87">
        <f>J15+K15</f>
        <v>122788.39</v>
      </c>
      <c r="M15" s="87"/>
      <c r="N15" s="87"/>
    </row>
    <row r="16" spans="1:14" ht="66" customHeight="1">
      <c r="A16" s="176"/>
      <c r="B16" s="48" t="s">
        <v>89</v>
      </c>
      <c r="C16" s="53">
        <v>62</v>
      </c>
      <c r="D16" s="53">
        <v>0</v>
      </c>
      <c r="E16" s="53">
        <v>11</v>
      </c>
      <c r="F16" s="201">
        <v>862</v>
      </c>
      <c r="G16" s="195" t="s">
        <v>320</v>
      </c>
      <c r="H16" s="228"/>
      <c r="I16" s="228" t="s">
        <v>23</v>
      </c>
      <c r="J16" s="87"/>
      <c r="K16" s="87">
        <f>K17</f>
        <v>122788.39</v>
      </c>
      <c r="L16" s="87">
        <f>J16+K16</f>
        <v>122788.39</v>
      </c>
      <c r="M16" s="87"/>
      <c r="N16" s="87"/>
    </row>
    <row r="17" spans="1:14" ht="25.5" customHeight="1">
      <c r="A17" s="176"/>
      <c r="B17" s="48" t="s">
        <v>92</v>
      </c>
      <c r="C17" s="53">
        <v>62</v>
      </c>
      <c r="D17" s="53">
        <v>0</v>
      </c>
      <c r="E17" s="53">
        <v>11</v>
      </c>
      <c r="F17" s="201">
        <v>862</v>
      </c>
      <c r="G17" s="195" t="s">
        <v>320</v>
      </c>
      <c r="H17" s="228"/>
      <c r="I17" s="228" t="s">
        <v>24</v>
      </c>
      <c r="J17" s="87"/>
      <c r="K17" s="87">
        <v>122788.39</v>
      </c>
      <c r="L17" s="87">
        <f>J17+K17</f>
        <v>122788.39</v>
      </c>
      <c r="M17" s="87"/>
      <c r="N17" s="87"/>
    </row>
    <row r="18" spans="1:14" ht="25.5" customHeight="1" hidden="1">
      <c r="A18" s="392" t="s">
        <v>93</v>
      </c>
      <c r="B18" s="393"/>
      <c r="C18" s="53">
        <v>62</v>
      </c>
      <c r="D18" s="53">
        <v>0</v>
      </c>
      <c r="E18" s="53">
        <v>11</v>
      </c>
      <c r="F18" s="201">
        <v>862</v>
      </c>
      <c r="G18" s="195" t="s">
        <v>223</v>
      </c>
      <c r="H18" s="228" t="s">
        <v>294</v>
      </c>
      <c r="I18" s="166"/>
      <c r="J18" s="87">
        <f>J19+J21+J23</f>
        <v>942694</v>
      </c>
      <c r="K18" s="87">
        <f>K19+K21+K23</f>
        <v>0</v>
      </c>
      <c r="L18" s="87">
        <f>L19+L21+L23</f>
        <v>942694</v>
      </c>
      <c r="M18" s="87">
        <f>M19+M21+M23</f>
        <v>893344</v>
      </c>
      <c r="N18" s="87">
        <f>N19+N21+N23</f>
        <v>854844</v>
      </c>
    </row>
    <row r="19" spans="1:14" ht="50.25" customHeight="1" hidden="1">
      <c r="A19" s="171"/>
      <c r="B19" s="48" t="s">
        <v>89</v>
      </c>
      <c r="C19" s="53">
        <v>62</v>
      </c>
      <c r="D19" s="53">
        <v>0</v>
      </c>
      <c r="E19" s="53">
        <v>11</v>
      </c>
      <c r="F19" s="201">
        <v>862</v>
      </c>
      <c r="G19" s="195" t="s">
        <v>223</v>
      </c>
      <c r="H19" s="228" t="s">
        <v>294</v>
      </c>
      <c r="I19" s="166" t="s">
        <v>23</v>
      </c>
      <c r="J19" s="87">
        <f>J20</f>
        <v>638995</v>
      </c>
      <c r="K19" s="87">
        <f>K20</f>
        <v>0</v>
      </c>
      <c r="L19" s="87">
        <f>L20</f>
        <v>638995</v>
      </c>
      <c r="M19" s="87">
        <f>M20</f>
        <v>638995</v>
      </c>
      <c r="N19" s="172">
        <f>N20</f>
        <v>638995</v>
      </c>
    </row>
    <row r="20" spans="1:14" ht="24.75" customHeight="1" hidden="1">
      <c r="A20" s="173"/>
      <c r="B20" s="48" t="s">
        <v>92</v>
      </c>
      <c r="C20" s="53">
        <v>62</v>
      </c>
      <c r="D20" s="53">
        <v>0</v>
      </c>
      <c r="E20" s="53">
        <v>11</v>
      </c>
      <c r="F20" s="201">
        <v>862</v>
      </c>
      <c r="G20" s="195" t="s">
        <v>223</v>
      </c>
      <c r="H20" s="228" t="s">
        <v>294</v>
      </c>
      <c r="I20" s="166" t="s">
        <v>24</v>
      </c>
      <c r="J20" s="87">
        <f>'6.Вед.19-21 '!L23</f>
        <v>638995</v>
      </c>
      <c r="K20" s="87">
        <f>'6.Вед.19-21 '!M23</f>
        <v>0</v>
      </c>
      <c r="L20" s="87">
        <f>'6.Вед.19-21 '!N23</f>
        <v>638995</v>
      </c>
      <c r="M20" s="87">
        <f>'6.Вед.19-21 '!O23</f>
        <v>638995</v>
      </c>
      <c r="N20" s="87">
        <f>'6.Вед.19-21 '!P23</f>
        <v>638995</v>
      </c>
    </row>
    <row r="21" spans="1:14" ht="24.75" customHeight="1" hidden="1">
      <c r="A21" s="173"/>
      <c r="B21" s="70" t="s">
        <v>197</v>
      </c>
      <c r="C21" s="53">
        <v>62</v>
      </c>
      <c r="D21" s="53">
        <v>0</v>
      </c>
      <c r="E21" s="53">
        <v>11</v>
      </c>
      <c r="F21" s="201">
        <v>862</v>
      </c>
      <c r="G21" s="195" t="s">
        <v>223</v>
      </c>
      <c r="H21" s="228" t="s">
        <v>294</v>
      </c>
      <c r="I21" s="230" t="s">
        <v>25</v>
      </c>
      <c r="J21" s="87">
        <f>J22</f>
        <v>277845</v>
      </c>
      <c r="K21" s="87">
        <f>K22</f>
        <v>0</v>
      </c>
      <c r="L21" s="87">
        <f>L22</f>
        <v>277845</v>
      </c>
      <c r="M21" s="87">
        <f>M22</f>
        <v>228495</v>
      </c>
      <c r="N21" s="87">
        <f>N22</f>
        <v>189995</v>
      </c>
    </row>
    <row r="22" spans="1:14" ht="24.75" customHeight="1" hidden="1">
      <c r="A22" s="173"/>
      <c r="B22" s="174" t="s">
        <v>94</v>
      </c>
      <c r="C22" s="53">
        <v>62</v>
      </c>
      <c r="D22" s="53">
        <v>0</v>
      </c>
      <c r="E22" s="53">
        <v>11</v>
      </c>
      <c r="F22" s="201">
        <v>862</v>
      </c>
      <c r="G22" s="195" t="s">
        <v>223</v>
      </c>
      <c r="H22" s="228" t="s">
        <v>294</v>
      </c>
      <c r="I22" s="230" t="s">
        <v>26</v>
      </c>
      <c r="J22" s="87">
        <f>'6.Вед.19-21 '!L25</f>
        <v>277845</v>
      </c>
      <c r="K22" s="87">
        <f>'6.Вед.19-21 '!M25</f>
        <v>0</v>
      </c>
      <c r="L22" s="87">
        <f>'6.Вед.19-21 '!N25</f>
        <v>277845</v>
      </c>
      <c r="M22" s="87">
        <f>'6.Вед.19-21 '!O25</f>
        <v>228495</v>
      </c>
      <c r="N22" s="87">
        <f>'6.Вед.19-21 '!P25</f>
        <v>189995</v>
      </c>
    </row>
    <row r="23" spans="1:14" ht="15.75" customHeight="1" hidden="1">
      <c r="A23" s="173"/>
      <c r="B23" s="231" t="s">
        <v>27</v>
      </c>
      <c r="C23" s="53">
        <v>62</v>
      </c>
      <c r="D23" s="53">
        <v>0</v>
      </c>
      <c r="E23" s="53">
        <v>11</v>
      </c>
      <c r="F23" s="201">
        <v>862</v>
      </c>
      <c r="G23" s="195" t="s">
        <v>223</v>
      </c>
      <c r="H23" s="228" t="s">
        <v>294</v>
      </c>
      <c r="I23" s="166" t="s">
        <v>28</v>
      </c>
      <c r="J23" s="87">
        <f>J24</f>
        <v>25854</v>
      </c>
      <c r="K23" s="87">
        <f>K24</f>
        <v>0</v>
      </c>
      <c r="L23" s="87">
        <f>L24</f>
        <v>25854</v>
      </c>
      <c r="M23" s="87">
        <f>M24</f>
        <v>25854</v>
      </c>
      <c r="N23" s="87">
        <f>N24</f>
        <v>25854</v>
      </c>
    </row>
    <row r="24" spans="1:14" ht="15.75" customHeight="1" hidden="1">
      <c r="A24" s="173"/>
      <c r="B24" s="175" t="s">
        <v>195</v>
      </c>
      <c r="C24" s="53">
        <v>62</v>
      </c>
      <c r="D24" s="53">
        <v>0</v>
      </c>
      <c r="E24" s="53">
        <v>11</v>
      </c>
      <c r="F24" s="201">
        <v>862</v>
      </c>
      <c r="G24" s="195" t="s">
        <v>223</v>
      </c>
      <c r="H24" s="228" t="s">
        <v>294</v>
      </c>
      <c r="I24" s="166" t="s">
        <v>196</v>
      </c>
      <c r="J24" s="87">
        <f>'6.Вед.19-21 '!L27</f>
        <v>25854</v>
      </c>
      <c r="K24" s="87">
        <f>'6.Вед.19-21 '!M27</f>
        <v>0</v>
      </c>
      <c r="L24" s="87">
        <f>'6.Вед.19-21 '!N27</f>
        <v>25854</v>
      </c>
      <c r="M24" s="87">
        <f>'6.Вед.19-21 '!O27</f>
        <v>25854</v>
      </c>
      <c r="N24" s="87">
        <f>'6.Вед.19-21 '!P27</f>
        <v>25854</v>
      </c>
    </row>
    <row r="25" spans="1:14" ht="27" customHeight="1">
      <c r="A25" s="173"/>
      <c r="B25" s="258" t="s">
        <v>341</v>
      </c>
      <c r="C25" s="53">
        <v>62</v>
      </c>
      <c r="D25" s="53">
        <v>0</v>
      </c>
      <c r="E25" s="53">
        <v>11</v>
      </c>
      <c r="F25" s="201">
        <v>862</v>
      </c>
      <c r="G25" s="195" t="s">
        <v>357</v>
      </c>
      <c r="H25" s="228"/>
      <c r="I25" s="166"/>
      <c r="J25" s="87">
        <f aca="true" t="shared" si="1" ref="J25:N26">J26</f>
        <v>11000</v>
      </c>
      <c r="K25" s="87">
        <f t="shared" si="1"/>
        <v>5000</v>
      </c>
      <c r="L25" s="87">
        <f t="shared" si="1"/>
        <v>16000</v>
      </c>
      <c r="M25" s="87">
        <f t="shared" si="1"/>
        <v>7000</v>
      </c>
      <c r="N25" s="87">
        <f t="shared" si="1"/>
        <v>7000</v>
      </c>
    </row>
    <row r="26" spans="1:14" ht="25.5" customHeight="1">
      <c r="A26" s="173"/>
      <c r="B26" s="70" t="s">
        <v>197</v>
      </c>
      <c r="C26" s="53">
        <v>62</v>
      </c>
      <c r="D26" s="53">
        <v>0</v>
      </c>
      <c r="E26" s="53">
        <v>11</v>
      </c>
      <c r="F26" s="201">
        <v>862</v>
      </c>
      <c r="G26" s="195" t="s">
        <v>357</v>
      </c>
      <c r="H26" s="228" t="s">
        <v>294</v>
      </c>
      <c r="I26" s="230" t="s">
        <v>25</v>
      </c>
      <c r="J26" s="87">
        <f t="shared" si="1"/>
        <v>11000</v>
      </c>
      <c r="K26" s="87">
        <f t="shared" si="1"/>
        <v>5000</v>
      </c>
      <c r="L26" s="87">
        <f t="shared" si="1"/>
        <v>16000</v>
      </c>
      <c r="M26" s="87">
        <f t="shared" si="1"/>
        <v>7000</v>
      </c>
      <c r="N26" s="87">
        <f t="shared" si="1"/>
        <v>7000</v>
      </c>
    </row>
    <row r="27" spans="1:14" ht="27.75" customHeight="1">
      <c r="A27" s="173"/>
      <c r="B27" s="174" t="s">
        <v>94</v>
      </c>
      <c r="C27" s="53">
        <v>62</v>
      </c>
      <c r="D27" s="53">
        <v>0</v>
      </c>
      <c r="E27" s="53">
        <v>11</v>
      </c>
      <c r="F27" s="201">
        <v>862</v>
      </c>
      <c r="G27" s="195" t="s">
        <v>357</v>
      </c>
      <c r="H27" s="228" t="s">
        <v>294</v>
      </c>
      <c r="I27" s="230" t="s">
        <v>26</v>
      </c>
      <c r="J27" s="87">
        <f>'6.Вед.19-21 '!L30</f>
        <v>11000</v>
      </c>
      <c r="K27" s="87">
        <f>'6.Вед.19-21 '!M30</f>
        <v>5000</v>
      </c>
      <c r="L27" s="87">
        <f>'6.Вед.19-21 '!N30</f>
        <v>16000</v>
      </c>
      <c r="M27" s="87">
        <f>'6.Вед.19-21 '!O30</f>
        <v>7000</v>
      </c>
      <c r="N27" s="87">
        <f>'6.Вед.19-21 '!P30</f>
        <v>7000</v>
      </c>
    </row>
    <row r="28" spans="1:14" ht="38.25" customHeight="1">
      <c r="A28" s="198"/>
      <c r="B28" s="310" t="s">
        <v>402</v>
      </c>
      <c r="C28" s="53">
        <v>62</v>
      </c>
      <c r="D28" s="53">
        <v>0</v>
      </c>
      <c r="E28" s="53">
        <v>11</v>
      </c>
      <c r="F28" s="201">
        <v>862</v>
      </c>
      <c r="G28" s="195" t="s">
        <v>406</v>
      </c>
      <c r="H28" s="228"/>
      <c r="I28" s="230"/>
      <c r="J28" s="87">
        <f aca="true" t="shared" si="2" ref="J28:L29">J29</f>
        <v>78000</v>
      </c>
      <c r="K28" s="87">
        <f t="shared" si="2"/>
        <v>26000</v>
      </c>
      <c r="L28" s="87">
        <f t="shared" si="2"/>
        <v>104000</v>
      </c>
      <c r="M28" s="87"/>
      <c r="N28" s="87"/>
    </row>
    <row r="29" spans="1:14" ht="25.5" customHeight="1">
      <c r="A29" s="198"/>
      <c r="B29" s="70" t="s">
        <v>197</v>
      </c>
      <c r="C29" s="53">
        <v>62</v>
      </c>
      <c r="D29" s="53">
        <v>0</v>
      </c>
      <c r="E29" s="53">
        <v>11</v>
      </c>
      <c r="F29" s="201">
        <v>862</v>
      </c>
      <c r="G29" s="195" t="s">
        <v>406</v>
      </c>
      <c r="H29" s="228"/>
      <c r="I29" s="230" t="s">
        <v>25</v>
      </c>
      <c r="J29" s="87">
        <f t="shared" si="2"/>
        <v>78000</v>
      </c>
      <c r="K29" s="87">
        <f t="shared" si="2"/>
        <v>26000</v>
      </c>
      <c r="L29" s="87">
        <f t="shared" si="2"/>
        <v>104000</v>
      </c>
      <c r="M29" s="87"/>
      <c r="N29" s="87"/>
    </row>
    <row r="30" spans="1:14" ht="26.25" customHeight="1">
      <c r="A30" s="198"/>
      <c r="B30" s="174" t="s">
        <v>94</v>
      </c>
      <c r="C30" s="53">
        <v>62</v>
      </c>
      <c r="D30" s="53">
        <v>0</v>
      </c>
      <c r="E30" s="53">
        <v>11</v>
      </c>
      <c r="F30" s="201">
        <v>862</v>
      </c>
      <c r="G30" s="195" t="s">
        <v>406</v>
      </c>
      <c r="H30" s="228"/>
      <c r="I30" s="230" t="s">
        <v>26</v>
      </c>
      <c r="J30" s="87">
        <f>25000+53000</f>
        <v>78000</v>
      </c>
      <c r="K30" s="87">
        <v>26000</v>
      </c>
      <c r="L30" s="87">
        <f>J30+K30</f>
        <v>104000</v>
      </c>
      <c r="M30" s="87"/>
      <c r="N30" s="87"/>
    </row>
    <row r="31" spans="1:14" ht="15.75" customHeight="1" hidden="1">
      <c r="A31" s="173"/>
      <c r="B31" s="231" t="s">
        <v>295</v>
      </c>
      <c r="C31" s="53">
        <v>62</v>
      </c>
      <c r="D31" s="53">
        <v>0</v>
      </c>
      <c r="E31" s="53">
        <v>11</v>
      </c>
      <c r="F31" s="201">
        <v>862</v>
      </c>
      <c r="G31" s="195" t="s">
        <v>296</v>
      </c>
      <c r="H31" s="228" t="s">
        <v>297</v>
      </c>
      <c r="I31" s="166"/>
      <c r="J31" s="87">
        <f aca="true" t="shared" si="3" ref="J31:N32">J32</f>
        <v>5000</v>
      </c>
      <c r="K31" s="87">
        <f t="shared" si="3"/>
        <v>0</v>
      </c>
      <c r="L31" s="87">
        <f t="shared" si="3"/>
        <v>5000</v>
      </c>
      <c r="M31" s="87">
        <f t="shared" si="3"/>
        <v>5000</v>
      </c>
      <c r="N31" s="87">
        <f t="shared" si="3"/>
        <v>5000</v>
      </c>
    </row>
    <row r="32" spans="1:14" ht="15.75" customHeight="1" hidden="1">
      <c r="A32" s="173"/>
      <c r="B32" s="231" t="s">
        <v>27</v>
      </c>
      <c r="C32" s="53">
        <v>62</v>
      </c>
      <c r="D32" s="53">
        <v>0</v>
      </c>
      <c r="E32" s="53">
        <v>11</v>
      </c>
      <c r="F32" s="201">
        <v>862</v>
      </c>
      <c r="G32" s="195" t="s">
        <v>296</v>
      </c>
      <c r="H32" s="228" t="s">
        <v>297</v>
      </c>
      <c r="I32" s="166" t="s">
        <v>28</v>
      </c>
      <c r="J32" s="87">
        <f t="shared" si="3"/>
        <v>5000</v>
      </c>
      <c r="K32" s="87">
        <f t="shared" si="3"/>
        <v>0</v>
      </c>
      <c r="L32" s="87">
        <f t="shared" si="3"/>
        <v>5000</v>
      </c>
      <c r="M32" s="87">
        <f t="shared" si="3"/>
        <v>5000</v>
      </c>
      <c r="N32" s="87">
        <f t="shared" si="3"/>
        <v>5000</v>
      </c>
    </row>
    <row r="33" spans="1:14" ht="15.75" customHeight="1" hidden="1">
      <c r="A33" s="173"/>
      <c r="B33" s="175" t="s">
        <v>195</v>
      </c>
      <c r="C33" s="53">
        <v>62</v>
      </c>
      <c r="D33" s="53">
        <v>0</v>
      </c>
      <c r="E33" s="53">
        <v>11</v>
      </c>
      <c r="F33" s="201">
        <v>862</v>
      </c>
      <c r="G33" s="195" t="s">
        <v>296</v>
      </c>
      <c r="H33" s="228" t="s">
        <v>297</v>
      </c>
      <c r="I33" s="166" t="s">
        <v>196</v>
      </c>
      <c r="J33" s="87">
        <f>'6.Вед.19-21 '!L33</f>
        <v>5000</v>
      </c>
      <c r="K33" s="87">
        <f>'6.Вед.19-21 '!M33</f>
        <v>0</v>
      </c>
      <c r="L33" s="87">
        <f>'6.Вед.19-21 '!N33</f>
        <v>5000</v>
      </c>
      <c r="M33" s="87">
        <f>'6.Вед.19-21 '!O33</f>
        <v>5000</v>
      </c>
      <c r="N33" s="87">
        <f>'6.Вед.19-21 '!P33</f>
        <v>5000</v>
      </c>
    </row>
    <row r="34" spans="1:14" s="36" customFormat="1" ht="61.5" customHeight="1" hidden="1">
      <c r="A34" s="56" t="s">
        <v>96</v>
      </c>
      <c r="B34" s="176" t="s">
        <v>210</v>
      </c>
      <c r="C34" s="53">
        <v>62</v>
      </c>
      <c r="D34" s="53">
        <v>0</v>
      </c>
      <c r="E34" s="53">
        <v>11</v>
      </c>
      <c r="F34" s="201">
        <v>862</v>
      </c>
      <c r="G34" s="195" t="s">
        <v>224</v>
      </c>
      <c r="H34" s="228" t="s">
        <v>298</v>
      </c>
      <c r="I34" s="166"/>
      <c r="J34" s="87">
        <f aca="true" t="shared" si="4" ref="J34:N35">J35</f>
        <v>3000</v>
      </c>
      <c r="K34" s="87">
        <f t="shared" si="4"/>
        <v>0</v>
      </c>
      <c r="L34" s="87">
        <f t="shared" si="4"/>
        <v>3000</v>
      </c>
      <c r="M34" s="87">
        <f t="shared" si="4"/>
        <v>3000</v>
      </c>
      <c r="N34" s="87">
        <f t="shared" si="4"/>
        <v>3000</v>
      </c>
    </row>
    <row r="35" spans="1:14" ht="14.25" customHeight="1" hidden="1">
      <c r="A35" s="173"/>
      <c r="B35" s="177" t="s">
        <v>59</v>
      </c>
      <c r="C35" s="53">
        <v>62</v>
      </c>
      <c r="D35" s="53">
        <v>0</v>
      </c>
      <c r="E35" s="53">
        <v>11</v>
      </c>
      <c r="F35" s="201">
        <v>862</v>
      </c>
      <c r="G35" s="195" t="s">
        <v>224</v>
      </c>
      <c r="H35" s="228" t="s">
        <v>298</v>
      </c>
      <c r="I35" s="166" t="s">
        <v>46</v>
      </c>
      <c r="J35" s="87">
        <f t="shared" si="4"/>
        <v>3000</v>
      </c>
      <c r="K35" s="87">
        <f t="shared" si="4"/>
        <v>0</v>
      </c>
      <c r="L35" s="87">
        <f t="shared" si="4"/>
        <v>3000</v>
      </c>
      <c r="M35" s="87">
        <f t="shared" si="4"/>
        <v>3000</v>
      </c>
      <c r="N35" s="87">
        <f t="shared" si="4"/>
        <v>3000</v>
      </c>
    </row>
    <row r="36" spans="1:14" ht="16.5" customHeight="1" hidden="1">
      <c r="A36" s="173"/>
      <c r="B36" s="178" t="s">
        <v>69</v>
      </c>
      <c r="C36" s="53">
        <v>62</v>
      </c>
      <c r="D36" s="53">
        <v>0</v>
      </c>
      <c r="E36" s="53">
        <v>11</v>
      </c>
      <c r="F36" s="201">
        <v>862</v>
      </c>
      <c r="G36" s="195" t="s">
        <v>224</v>
      </c>
      <c r="H36" s="228" t="s">
        <v>298</v>
      </c>
      <c r="I36" s="230" t="s">
        <v>32</v>
      </c>
      <c r="J36" s="87">
        <f>'6.Вед.19-21 '!L37</f>
        <v>3000</v>
      </c>
      <c r="K36" s="87">
        <f>'6.Вед.19-21 '!M37</f>
        <v>0</v>
      </c>
      <c r="L36" s="87">
        <f>'6.Вед.19-21 '!N37</f>
        <v>3000</v>
      </c>
      <c r="M36" s="87">
        <f>'6.Вед.19-21 '!O37</f>
        <v>3000</v>
      </c>
      <c r="N36" s="87">
        <f>'6.Вед.19-21 '!P37</f>
        <v>3000</v>
      </c>
    </row>
    <row r="37" ht="14.25" hidden="1"/>
    <row r="38" ht="14.25" hidden="1"/>
    <row r="39" ht="14.25" hidden="1"/>
    <row r="40" spans="1:14" ht="48.75" customHeight="1" hidden="1">
      <c r="A40" s="373" t="s">
        <v>211</v>
      </c>
      <c r="B40" s="374"/>
      <c r="C40" s="53">
        <v>62</v>
      </c>
      <c r="D40" s="53">
        <v>0</v>
      </c>
      <c r="E40" s="53">
        <v>11</v>
      </c>
      <c r="F40" s="201">
        <v>862</v>
      </c>
      <c r="G40" s="195" t="s">
        <v>225</v>
      </c>
      <c r="H40" s="228" t="s">
        <v>299</v>
      </c>
      <c r="I40" s="210"/>
      <c r="J40" s="87">
        <f aca="true" t="shared" si="5" ref="J40:N41">J41</f>
        <v>500</v>
      </c>
      <c r="K40" s="87">
        <f t="shared" si="5"/>
        <v>0</v>
      </c>
      <c r="L40" s="87">
        <f t="shared" si="5"/>
        <v>500</v>
      </c>
      <c r="M40" s="87">
        <f t="shared" si="5"/>
        <v>500</v>
      </c>
      <c r="N40" s="87">
        <f t="shared" si="5"/>
        <v>500</v>
      </c>
    </row>
    <row r="41" spans="1:14" ht="16.5" customHeight="1" hidden="1">
      <c r="A41" s="173"/>
      <c r="B41" s="177" t="s">
        <v>59</v>
      </c>
      <c r="C41" s="53">
        <v>62</v>
      </c>
      <c r="D41" s="53">
        <v>0</v>
      </c>
      <c r="E41" s="53">
        <v>11</v>
      </c>
      <c r="F41" s="201">
        <v>862</v>
      </c>
      <c r="G41" s="195" t="s">
        <v>225</v>
      </c>
      <c r="H41" s="228" t="s">
        <v>299</v>
      </c>
      <c r="I41" s="166" t="s">
        <v>46</v>
      </c>
      <c r="J41" s="87">
        <f t="shared" si="5"/>
        <v>500</v>
      </c>
      <c r="K41" s="87">
        <f t="shared" si="5"/>
        <v>0</v>
      </c>
      <c r="L41" s="87">
        <f t="shared" si="5"/>
        <v>500</v>
      </c>
      <c r="M41" s="87">
        <f t="shared" si="5"/>
        <v>500</v>
      </c>
      <c r="N41" s="87">
        <f t="shared" si="5"/>
        <v>500</v>
      </c>
    </row>
    <row r="42" spans="1:14" ht="15.75" customHeight="1" hidden="1">
      <c r="A42" s="173"/>
      <c r="B42" s="178" t="s">
        <v>69</v>
      </c>
      <c r="C42" s="53">
        <v>62</v>
      </c>
      <c r="D42" s="53">
        <v>0</v>
      </c>
      <c r="E42" s="53">
        <v>11</v>
      </c>
      <c r="F42" s="201">
        <v>862</v>
      </c>
      <c r="G42" s="195" t="s">
        <v>225</v>
      </c>
      <c r="H42" s="228" t="s">
        <v>299</v>
      </c>
      <c r="I42" s="230" t="s">
        <v>32</v>
      </c>
      <c r="J42" s="87">
        <f>'6.Вед.19-21 '!L55</f>
        <v>500</v>
      </c>
      <c r="K42" s="87">
        <f>'6.Вед.19-21 '!M55</f>
        <v>0</v>
      </c>
      <c r="L42" s="87">
        <f>'6.Вед.19-21 '!N55</f>
        <v>500</v>
      </c>
      <c r="M42" s="87">
        <f>'6.Вед.19-21 '!O55</f>
        <v>500</v>
      </c>
      <c r="N42" s="87">
        <f>'6.Вед.19-21 '!P55</f>
        <v>500</v>
      </c>
    </row>
    <row r="43" spans="1:14" ht="37.5" customHeight="1" hidden="1">
      <c r="A43" s="173"/>
      <c r="B43" s="175" t="s">
        <v>344</v>
      </c>
      <c r="C43" s="266">
        <v>62</v>
      </c>
      <c r="D43" s="53">
        <v>0</v>
      </c>
      <c r="E43" s="53">
        <v>11</v>
      </c>
      <c r="F43" s="201">
        <v>862</v>
      </c>
      <c r="G43" s="195" t="s">
        <v>358</v>
      </c>
      <c r="H43" s="228"/>
      <c r="I43" s="230"/>
      <c r="J43" s="87">
        <f aca="true" t="shared" si="6" ref="J43:N44">J44</f>
        <v>300</v>
      </c>
      <c r="K43" s="87">
        <f t="shared" si="6"/>
        <v>0</v>
      </c>
      <c r="L43" s="87">
        <f t="shared" si="6"/>
        <v>300</v>
      </c>
      <c r="M43" s="87">
        <f t="shared" si="6"/>
        <v>300</v>
      </c>
      <c r="N43" s="87">
        <f t="shared" si="6"/>
        <v>300</v>
      </c>
    </row>
    <row r="44" spans="1:14" ht="27" customHeight="1" hidden="1">
      <c r="A44" s="173"/>
      <c r="B44" s="70" t="s">
        <v>197</v>
      </c>
      <c r="C44" s="53">
        <v>62</v>
      </c>
      <c r="D44" s="53">
        <v>0</v>
      </c>
      <c r="E44" s="53">
        <v>11</v>
      </c>
      <c r="F44" s="201">
        <v>862</v>
      </c>
      <c r="G44" s="195" t="s">
        <v>358</v>
      </c>
      <c r="H44" s="228" t="s">
        <v>294</v>
      </c>
      <c r="I44" s="230" t="s">
        <v>25</v>
      </c>
      <c r="J44" s="87">
        <f t="shared" si="6"/>
        <v>300</v>
      </c>
      <c r="K44" s="87">
        <f t="shared" si="6"/>
        <v>0</v>
      </c>
      <c r="L44" s="87">
        <f t="shared" si="6"/>
        <v>300</v>
      </c>
      <c r="M44" s="87">
        <f t="shared" si="6"/>
        <v>300</v>
      </c>
      <c r="N44" s="87">
        <f t="shared" si="6"/>
        <v>300</v>
      </c>
    </row>
    <row r="45" spans="1:14" ht="28.5" customHeight="1" hidden="1">
      <c r="A45" s="173"/>
      <c r="B45" s="174" t="s">
        <v>94</v>
      </c>
      <c r="C45" s="53">
        <v>62</v>
      </c>
      <c r="D45" s="53">
        <v>0</v>
      </c>
      <c r="E45" s="53">
        <v>11</v>
      </c>
      <c r="F45" s="201">
        <v>862</v>
      </c>
      <c r="G45" s="195" t="s">
        <v>358</v>
      </c>
      <c r="H45" s="228" t="s">
        <v>294</v>
      </c>
      <c r="I45" s="230" t="s">
        <v>25</v>
      </c>
      <c r="J45" s="87">
        <f>'6.Вед.19-21 '!L40</f>
        <v>300</v>
      </c>
      <c r="K45" s="87">
        <f>'6.Вед.19-21 '!M40</f>
        <v>0</v>
      </c>
      <c r="L45" s="87">
        <f>'6.Вед.19-21 '!N40</f>
        <v>300</v>
      </c>
      <c r="M45" s="87">
        <f>'6.Вед.19-21 '!O40</f>
        <v>300</v>
      </c>
      <c r="N45" s="87">
        <f>'6.Вед.19-21 '!P40</f>
        <v>300</v>
      </c>
    </row>
    <row r="46" spans="1:14" ht="25.5" customHeight="1">
      <c r="A46" s="173"/>
      <c r="B46" s="179" t="s">
        <v>300</v>
      </c>
      <c r="C46" s="169">
        <v>62</v>
      </c>
      <c r="D46" s="169">
        <v>0</v>
      </c>
      <c r="E46" s="169">
        <v>12</v>
      </c>
      <c r="F46" s="180"/>
      <c r="G46" s="181"/>
      <c r="H46" s="182"/>
      <c r="I46" s="183"/>
      <c r="J46" s="88">
        <f aca="true" t="shared" si="7" ref="J46:N47">J47</f>
        <v>79305</v>
      </c>
      <c r="K46" s="88">
        <f t="shared" si="7"/>
        <v>0</v>
      </c>
      <c r="L46" s="88">
        <f t="shared" si="7"/>
        <v>79305</v>
      </c>
      <c r="M46" s="88">
        <f t="shared" si="7"/>
        <v>79305</v>
      </c>
      <c r="N46" s="88">
        <f t="shared" si="7"/>
        <v>79305</v>
      </c>
    </row>
    <row r="47" spans="1:14" ht="15.75" customHeight="1">
      <c r="A47" s="173"/>
      <c r="B47" s="170" t="s">
        <v>199</v>
      </c>
      <c r="C47" s="169">
        <v>62</v>
      </c>
      <c r="D47" s="169">
        <v>0</v>
      </c>
      <c r="E47" s="169">
        <v>12</v>
      </c>
      <c r="F47" s="184">
        <v>862</v>
      </c>
      <c r="G47" s="181"/>
      <c r="H47" s="182"/>
      <c r="I47" s="183"/>
      <c r="J47" s="88">
        <f t="shared" si="7"/>
        <v>79305</v>
      </c>
      <c r="K47" s="88">
        <f t="shared" si="7"/>
        <v>0</v>
      </c>
      <c r="L47" s="88">
        <f t="shared" si="7"/>
        <v>79305</v>
      </c>
      <c r="M47" s="88">
        <f t="shared" si="7"/>
        <v>79305</v>
      </c>
      <c r="N47" s="88">
        <f t="shared" si="7"/>
        <v>79305</v>
      </c>
    </row>
    <row r="48" spans="1:14" s="37" customFormat="1" ht="27.75" customHeight="1">
      <c r="A48" s="231" t="s">
        <v>97</v>
      </c>
      <c r="B48" s="231" t="s">
        <v>324</v>
      </c>
      <c r="C48" s="53">
        <v>62</v>
      </c>
      <c r="D48" s="53">
        <v>0</v>
      </c>
      <c r="E48" s="53">
        <v>12</v>
      </c>
      <c r="F48" s="241">
        <v>862</v>
      </c>
      <c r="G48" s="166" t="s">
        <v>226</v>
      </c>
      <c r="H48" s="228" t="s">
        <v>301</v>
      </c>
      <c r="I48" s="166"/>
      <c r="J48" s="87">
        <f>J49+J51</f>
        <v>79305</v>
      </c>
      <c r="K48" s="87">
        <f>K49+K51</f>
        <v>0</v>
      </c>
      <c r="L48" s="87">
        <f>L49+L51</f>
        <v>79305</v>
      </c>
      <c r="M48" s="87">
        <f>M49+M51</f>
        <v>79305</v>
      </c>
      <c r="N48" s="87">
        <f>N49+N51</f>
        <v>79305</v>
      </c>
    </row>
    <row r="49" spans="1:14" ht="62.25" customHeight="1">
      <c r="A49" s="171"/>
      <c r="B49" s="48" t="s">
        <v>89</v>
      </c>
      <c r="C49" s="53">
        <v>62</v>
      </c>
      <c r="D49" s="53">
        <v>0</v>
      </c>
      <c r="E49" s="53">
        <v>12</v>
      </c>
      <c r="F49" s="241">
        <v>862</v>
      </c>
      <c r="G49" s="166" t="s">
        <v>226</v>
      </c>
      <c r="H49" s="228" t="s">
        <v>301</v>
      </c>
      <c r="I49" s="166" t="s">
        <v>23</v>
      </c>
      <c r="J49" s="87">
        <f>J50</f>
        <v>74600</v>
      </c>
      <c r="K49" s="87">
        <f>K50</f>
        <v>928.25</v>
      </c>
      <c r="L49" s="87">
        <f>L50</f>
        <v>75528.25</v>
      </c>
      <c r="M49" s="87">
        <f>M50</f>
        <v>74600</v>
      </c>
      <c r="N49" s="87">
        <f>N50</f>
        <v>74600</v>
      </c>
    </row>
    <row r="50" spans="1:14" ht="26.25" customHeight="1">
      <c r="A50" s="173"/>
      <c r="B50" s="48" t="s">
        <v>92</v>
      </c>
      <c r="C50" s="53">
        <v>62</v>
      </c>
      <c r="D50" s="53">
        <v>0</v>
      </c>
      <c r="E50" s="53">
        <v>12</v>
      </c>
      <c r="F50" s="241">
        <v>862</v>
      </c>
      <c r="G50" s="166" t="s">
        <v>226</v>
      </c>
      <c r="H50" s="228" t="s">
        <v>301</v>
      </c>
      <c r="I50" s="166" t="s">
        <v>24</v>
      </c>
      <c r="J50" s="87">
        <f>'6.Вед.19-21 '!L60</f>
        <v>74600</v>
      </c>
      <c r="K50" s="87">
        <f>'6.Вед.19-21 '!M60</f>
        <v>928.25</v>
      </c>
      <c r="L50" s="87">
        <f>'6.Вед.19-21 '!N60</f>
        <v>75528.25</v>
      </c>
      <c r="M50" s="87">
        <f>'6.Вед.19-21 '!O60</f>
        <v>74600</v>
      </c>
      <c r="N50" s="87">
        <f>'6.Вед.19-21 '!P60</f>
        <v>74600</v>
      </c>
    </row>
    <row r="51" spans="1:14" ht="24" customHeight="1">
      <c r="A51" s="173"/>
      <c r="B51" s="70" t="s">
        <v>197</v>
      </c>
      <c r="C51" s="53">
        <v>62</v>
      </c>
      <c r="D51" s="53">
        <v>0</v>
      </c>
      <c r="E51" s="53">
        <v>12</v>
      </c>
      <c r="F51" s="241">
        <v>862</v>
      </c>
      <c r="G51" s="166" t="s">
        <v>226</v>
      </c>
      <c r="H51" s="228" t="s">
        <v>301</v>
      </c>
      <c r="I51" s="166" t="s">
        <v>25</v>
      </c>
      <c r="J51" s="87">
        <f>J52</f>
        <v>4705</v>
      </c>
      <c r="K51" s="87">
        <f>K52</f>
        <v>-928.25</v>
      </c>
      <c r="L51" s="87">
        <f>L52</f>
        <v>3776.75</v>
      </c>
      <c r="M51" s="87">
        <f>M52</f>
        <v>4705</v>
      </c>
      <c r="N51" s="87">
        <f>N52</f>
        <v>4705</v>
      </c>
    </row>
    <row r="52" spans="1:14" ht="24.75" customHeight="1">
      <c r="A52" s="173"/>
      <c r="B52" s="174" t="s">
        <v>94</v>
      </c>
      <c r="C52" s="53">
        <v>62</v>
      </c>
      <c r="D52" s="53">
        <v>0</v>
      </c>
      <c r="E52" s="53">
        <v>12</v>
      </c>
      <c r="F52" s="241">
        <v>862</v>
      </c>
      <c r="G52" s="166" t="s">
        <v>226</v>
      </c>
      <c r="H52" s="228" t="s">
        <v>301</v>
      </c>
      <c r="I52" s="166" t="s">
        <v>26</v>
      </c>
      <c r="J52" s="87">
        <f>'6.Вед.19-21 '!L62</f>
        <v>4705</v>
      </c>
      <c r="K52" s="87">
        <f>'6.Вед.19-21 '!M62</f>
        <v>-928.25</v>
      </c>
      <c r="L52" s="87">
        <f>'6.Вед.19-21 '!N62</f>
        <v>3776.75</v>
      </c>
      <c r="M52" s="87">
        <f>'6.Вед.19-21 '!O62</f>
        <v>4705</v>
      </c>
      <c r="N52" s="87">
        <f>'6.Вед.19-21 '!P62</f>
        <v>4705</v>
      </c>
    </row>
    <row r="53" spans="1:14" ht="28.5" customHeight="1" hidden="1">
      <c r="A53" s="173"/>
      <c r="B53" s="179" t="s">
        <v>302</v>
      </c>
      <c r="C53" s="169">
        <v>62</v>
      </c>
      <c r="D53" s="169">
        <v>0</v>
      </c>
      <c r="E53" s="169">
        <v>13</v>
      </c>
      <c r="F53" s="184"/>
      <c r="G53" s="181"/>
      <c r="H53" s="182"/>
      <c r="I53" s="183"/>
      <c r="J53" s="88">
        <f aca="true" t="shared" si="8" ref="J53:N54">J54</f>
        <v>50000</v>
      </c>
      <c r="K53" s="88">
        <f t="shared" si="8"/>
        <v>0</v>
      </c>
      <c r="L53" s="88">
        <f t="shared" si="8"/>
        <v>50000</v>
      </c>
      <c r="M53" s="88">
        <f t="shared" si="8"/>
        <v>20000</v>
      </c>
      <c r="N53" s="88">
        <f t="shared" si="8"/>
        <v>20000</v>
      </c>
    </row>
    <row r="54" spans="1:14" ht="14.25" customHeight="1" hidden="1">
      <c r="A54" s="173"/>
      <c r="B54" s="170" t="s">
        <v>199</v>
      </c>
      <c r="C54" s="169">
        <v>62</v>
      </c>
      <c r="D54" s="169">
        <v>0</v>
      </c>
      <c r="E54" s="169">
        <v>13</v>
      </c>
      <c r="F54" s="184">
        <v>862</v>
      </c>
      <c r="G54" s="181"/>
      <c r="H54" s="182"/>
      <c r="I54" s="183"/>
      <c r="J54" s="88">
        <f t="shared" si="8"/>
        <v>50000</v>
      </c>
      <c r="K54" s="88">
        <f t="shared" si="8"/>
        <v>0</v>
      </c>
      <c r="L54" s="88">
        <f t="shared" si="8"/>
        <v>50000</v>
      </c>
      <c r="M54" s="88">
        <f t="shared" si="8"/>
        <v>20000</v>
      </c>
      <c r="N54" s="88">
        <f t="shared" si="8"/>
        <v>20000</v>
      </c>
    </row>
    <row r="55" spans="1:14" ht="15" customHeight="1" hidden="1">
      <c r="A55" s="231" t="s">
        <v>98</v>
      </c>
      <c r="B55" s="231" t="s">
        <v>98</v>
      </c>
      <c r="C55" s="53">
        <v>62</v>
      </c>
      <c r="D55" s="53">
        <v>0</v>
      </c>
      <c r="E55" s="53">
        <v>13</v>
      </c>
      <c r="F55" s="201">
        <v>862</v>
      </c>
      <c r="G55" s="210" t="s">
        <v>303</v>
      </c>
      <c r="H55" s="228" t="s">
        <v>304</v>
      </c>
      <c r="I55" s="166"/>
      <c r="J55" s="87">
        <f>J56+J58</f>
        <v>50000</v>
      </c>
      <c r="K55" s="87">
        <f>K56+K58</f>
        <v>0</v>
      </c>
      <c r="L55" s="87">
        <f>L56+L58</f>
        <v>50000</v>
      </c>
      <c r="M55" s="87">
        <f>M56+M58</f>
        <v>20000</v>
      </c>
      <c r="N55" s="87">
        <f>N56+N58</f>
        <v>20000</v>
      </c>
    </row>
    <row r="56" spans="1:14" ht="36.75" customHeight="1" hidden="1">
      <c r="A56" s="186"/>
      <c r="B56" s="48" t="s">
        <v>89</v>
      </c>
      <c r="C56" s="53">
        <v>62</v>
      </c>
      <c r="D56" s="53">
        <v>0</v>
      </c>
      <c r="E56" s="53">
        <v>13</v>
      </c>
      <c r="F56" s="201">
        <v>862</v>
      </c>
      <c r="G56" s="210" t="s">
        <v>303</v>
      </c>
      <c r="H56" s="228" t="s">
        <v>304</v>
      </c>
      <c r="I56" s="166" t="s">
        <v>23</v>
      </c>
      <c r="J56" s="87">
        <f>J57</f>
        <v>0</v>
      </c>
      <c r="K56" s="87">
        <f>K57</f>
        <v>0</v>
      </c>
      <c r="L56" s="87">
        <f>L57</f>
        <v>0</v>
      </c>
      <c r="M56" s="87">
        <f>M57</f>
        <v>0</v>
      </c>
      <c r="N56" s="87">
        <f>N57</f>
        <v>0</v>
      </c>
    </row>
    <row r="57" spans="1:14" ht="15" customHeight="1" hidden="1">
      <c r="A57" s="187"/>
      <c r="B57" s="48" t="s">
        <v>103</v>
      </c>
      <c r="C57" s="53">
        <v>62</v>
      </c>
      <c r="D57" s="53">
        <v>0</v>
      </c>
      <c r="E57" s="53">
        <v>13</v>
      </c>
      <c r="F57" s="194">
        <v>862</v>
      </c>
      <c r="G57" s="210" t="s">
        <v>303</v>
      </c>
      <c r="H57" s="228" t="s">
        <v>304</v>
      </c>
      <c r="I57" s="166" t="s">
        <v>102</v>
      </c>
      <c r="J57" s="87">
        <v>0</v>
      </c>
      <c r="K57" s="87">
        <v>0</v>
      </c>
      <c r="L57" s="87">
        <v>0</v>
      </c>
      <c r="M57" s="87"/>
      <c r="N57" s="87"/>
    </row>
    <row r="58" spans="1:14" ht="22.5" customHeight="1" hidden="1">
      <c r="A58" s="187"/>
      <c r="B58" s="70" t="s">
        <v>197</v>
      </c>
      <c r="C58" s="53">
        <v>62</v>
      </c>
      <c r="D58" s="53">
        <v>0</v>
      </c>
      <c r="E58" s="53">
        <v>13</v>
      </c>
      <c r="F58" s="201">
        <v>862</v>
      </c>
      <c r="G58" s="210" t="s">
        <v>303</v>
      </c>
      <c r="H58" s="228" t="s">
        <v>304</v>
      </c>
      <c r="I58" s="166" t="s">
        <v>25</v>
      </c>
      <c r="J58" s="87">
        <f>J59</f>
        <v>50000</v>
      </c>
      <c r="K58" s="87">
        <f>K59</f>
        <v>0</v>
      </c>
      <c r="L58" s="87">
        <f>L59</f>
        <v>50000</v>
      </c>
      <c r="M58" s="87">
        <f>M59</f>
        <v>20000</v>
      </c>
      <c r="N58" s="87">
        <f>N59</f>
        <v>20000</v>
      </c>
    </row>
    <row r="59" spans="1:14" ht="22.5" customHeight="1" hidden="1">
      <c r="A59" s="55"/>
      <c r="B59" s="57" t="s">
        <v>94</v>
      </c>
      <c r="C59" s="53">
        <v>62</v>
      </c>
      <c r="D59" s="53">
        <v>0</v>
      </c>
      <c r="E59" s="53">
        <v>13</v>
      </c>
      <c r="F59" s="201">
        <v>862</v>
      </c>
      <c r="G59" s="210" t="s">
        <v>303</v>
      </c>
      <c r="H59" s="228" t="s">
        <v>304</v>
      </c>
      <c r="I59" s="166" t="s">
        <v>26</v>
      </c>
      <c r="J59" s="87">
        <f>'6.Вед.19-21 '!L69</f>
        <v>50000</v>
      </c>
      <c r="K59" s="87">
        <f>'6.Вед.19-21 '!M69</f>
        <v>0</v>
      </c>
      <c r="L59" s="87">
        <f>'6.Вед.19-21 '!N69</f>
        <v>50000</v>
      </c>
      <c r="M59" s="87">
        <f>'6.Вед.19-21 '!O69</f>
        <v>20000</v>
      </c>
      <c r="N59" s="87">
        <f>'6.Вед.19-21 '!P69</f>
        <v>20000</v>
      </c>
    </row>
    <row r="60" spans="1:14" s="51" customFormat="1" ht="26.25" customHeight="1" hidden="1">
      <c r="A60" s="188"/>
      <c r="B60" s="189" t="s">
        <v>305</v>
      </c>
      <c r="C60" s="169">
        <v>62</v>
      </c>
      <c r="D60" s="169">
        <v>0</v>
      </c>
      <c r="E60" s="169">
        <v>14</v>
      </c>
      <c r="F60" s="190"/>
      <c r="G60" s="192"/>
      <c r="H60" s="191"/>
      <c r="I60" s="191"/>
      <c r="J60" s="193">
        <f aca="true" t="shared" si="9" ref="J60:L63">J61</f>
        <v>852651.71</v>
      </c>
      <c r="K60" s="193">
        <f t="shared" si="9"/>
        <v>0</v>
      </c>
      <c r="L60" s="193">
        <f t="shared" si="9"/>
        <v>852651.71</v>
      </c>
      <c r="M60" s="193">
        <f aca="true" t="shared" si="10" ref="M60:N63">M61</f>
        <v>521979</v>
      </c>
      <c r="N60" s="193">
        <f t="shared" si="10"/>
        <v>589950</v>
      </c>
    </row>
    <row r="61" spans="1:14" s="50" customFormat="1" ht="16.5" customHeight="1" hidden="1">
      <c r="A61" s="176"/>
      <c r="B61" s="170" t="s">
        <v>199</v>
      </c>
      <c r="C61" s="169">
        <v>62</v>
      </c>
      <c r="D61" s="169">
        <v>0</v>
      </c>
      <c r="E61" s="169">
        <v>14</v>
      </c>
      <c r="F61" s="190">
        <v>862</v>
      </c>
      <c r="G61" s="192"/>
      <c r="H61" s="191"/>
      <c r="I61" s="191"/>
      <c r="J61" s="193">
        <f t="shared" si="9"/>
        <v>852651.71</v>
      </c>
      <c r="K61" s="193">
        <f t="shared" si="9"/>
        <v>0</v>
      </c>
      <c r="L61" s="193">
        <f t="shared" si="9"/>
        <v>852651.71</v>
      </c>
      <c r="M61" s="193">
        <f t="shared" si="10"/>
        <v>521979</v>
      </c>
      <c r="N61" s="193">
        <f t="shared" si="10"/>
        <v>589950</v>
      </c>
    </row>
    <row r="62" spans="1:14" ht="183.75" customHeight="1" hidden="1">
      <c r="A62" s="390" t="s">
        <v>214</v>
      </c>
      <c r="B62" s="391"/>
      <c r="C62" s="53">
        <v>62</v>
      </c>
      <c r="D62" s="236">
        <v>0</v>
      </c>
      <c r="E62" s="236">
        <v>14</v>
      </c>
      <c r="F62" s="240">
        <v>862</v>
      </c>
      <c r="G62" s="230" t="s">
        <v>227</v>
      </c>
      <c r="H62" s="228" t="s">
        <v>306</v>
      </c>
      <c r="I62" s="166"/>
      <c r="J62" s="87">
        <f t="shared" si="9"/>
        <v>852651.71</v>
      </c>
      <c r="K62" s="87">
        <f t="shared" si="9"/>
        <v>0</v>
      </c>
      <c r="L62" s="87">
        <f t="shared" si="9"/>
        <v>852651.71</v>
      </c>
      <c r="M62" s="87">
        <f t="shared" si="10"/>
        <v>521979</v>
      </c>
      <c r="N62" s="87">
        <f t="shared" si="10"/>
        <v>589950</v>
      </c>
    </row>
    <row r="63" spans="1:14" ht="24.75" customHeight="1" hidden="1">
      <c r="A63" s="68"/>
      <c r="B63" s="70" t="s">
        <v>197</v>
      </c>
      <c r="C63" s="53">
        <v>62</v>
      </c>
      <c r="D63" s="236">
        <v>0</v>
      </c>
      <c r="E63" s="236">
        <v>14</v>
      </c>
      <c r="F63" s="240">
        <v>862</v>
      </c>
      <c r="G63" s="230" t="s">
        <v>227</v>
      </c>
      <c r="H63" s="228" t="s">
        <v>306</v>
      </c>
      <c r="I63" s="166" t="s">
        <v>25</v>
      </c>
      <c r="J63" s="87">
        <f t="shared" si="9"/>
        <v>852651.71</v>
      </c>
      <c r="K63" s="87">
        <f t="shared" si="9"/>
        <v>0</v>
      </c>
      <c r="L63" s="87">
        <f t="shared" si="9"/>
        <v>852651.71</v>
      </c>
      <c r="M63" s="87">
        <f t="shared" si="10"/>
        <v>521979</v>
      </c>
      <c r="N63" s="87">
        <f t="shared" si="10"/>
        <v>589950</v>
      </c>
    </row>
    <row r="64" spans="1:14" ht="24.75" customHeight="1" hidden="1">
      <c r="A64" s="68"/>
      <c r="B64" s="57" t="s">
        <v>94</v>
      </c>
      <c r="C64" s="53">
        <v>62</v>
      </c>
      <c r="D64" s="236">
        <v>0</v>
      </c>
      <c r="E64" s="236">
        <v>14</v>
      </c>
      <c r="F64" s="240">
        <v>862</v>
      </c>
      <c r="G64" s="230" t="s">
        <v>227</v>
      </c>
      <c r="H64" s="228" t="s">
        <v>306</v>
      </c>
      <c r="I64" s="166" t="s">
        <v>26</v>
      </c>
      <c r="J64" s="87">
        <f>'6.Вед.19-21 '!L74</f>
        <v>852651.71</v>
      </c>
      <c r="K64" s="87">
        <f>'6.Вед.19-21 '!M74</f>
        <v>0</v>
      </c>
      <c r="L64" s="87">
        <f>'6.Вед.19-21 '!N74</f>
        <v>852651.71</v>
      </c>
      <c r="M64" s="87">
        <f>'6.Вед.19-21 '!O74</f>
        <v>521979</v>
      </c>
      <c r="N64" s="87">
        <f>'6.Вед.19-21 '!P74</f>
        <v>589950</v>
      </c>
    </row>
    <row r="65" spans="1:14" ht="39" customHeight="1">
      <c r="A65" s="198"/>
      <c r="B65" s="199" t="s">
        <v>307</v>
      </c>
      <c r="C65" s="169">
        <v>62</v>
      </c>
      <c r="D65" s="169">
        <v>0</v>
      </c>
      <c r="E65" s="169">
        <v>15</v>
      </c>
      <c r="F65" s="190"/>
      <c r="G65" s="181"/>
      <c r="H65" s="200"/>
      <c r="I65" s="181"/>
      <c r="J65" s="88">
        <f>J66</f>
        <v>1831876</v>
      </c>
      <c r="K65" s="88">
        <f>K66</f>
        <v>1244100</v>
      </c>
      <c r="L65" s="88">
        <f>L66</f>
        <v>4075976</v>
      </c>
      <c r="M65" s="88">
        <f>M66</f>
        <v>118236</v>
      </c>
      <c r="N65" s="88">
        <f>N66</f>
        <v>146851</v>
      </c>
    </row>
    <row r="66" spans="1:14" ht="15" customHeight="1">
      <c r="A66" s="198"/>
      <c r="B66" s="170" t="s">
        <v>199</v>
      </c>
      <c r="C66" s="169">
        <v>62</v>
      </c>
      <c r="D66" s="169">
        <v>0</v>
      </c>
      <c r="E66" s="169">
        <v>15</v>
      </c>
      <c r="F66" s="190">
        <v>862</v>
      </c>
      <c r="G66" s="181"/>
      <c r="H66" s="200"/>
      <c r="I66" s="181"/>
      <c r="J66" s="88">
        <f>J69+J72+J75+J84+J87</f>
        <v>1831876</v>
      </c>
      <c r="K66" s="88">
        <f>K69+K72+K75+K84+K87+K78+K81</f>
        <v>1244100</v>
      </c>
      <c r="L66" s="88">
        <f>L69+L72+L75+L84+L87+L78+L81</f>
        <v>4075976</v>
      </c>
      <c r="M66" s="88">
        <f>M69+M72+M75+M84+M87</f>
        <v>118236</v>
      </c>
      <c r="N66" s="88">
        <f>N69+N72+N75+N84+N87</f>
        <v>146851</v>
      </c>
    </row>
    <row r="67" spans="1:14" s="50" customFormat="1" ht="15" customHeight="1" hidden="1">
      <c r="A67" s="373" t="s">
        <v>218</v>
      </c>
      <c r="B67" s="374"/>
      <c r="C67" s="53">
        <v>62</v>
      </c>
      <c r="D67" s="53">
        <v>0</v>
      </c>
      <c r="E67" s="53">
        <v>15</v>
      </c>
      <c r="F67" s="201">
        <v>862</v>
      </c>
      <c r="G67" s="230" t="s">
        <v>229</v>
      </c>
      <c r="H67" s="228" t="s">
        <v>308</v>
      </c>
      <c r="I67" s="195"/>
      <c r="J67" s="197">
        <f aca="true" t="shared" si="11" ref="J67:N68">J68</f>
        <v>371338</v>
      </c>
      <c r="K67" s="197">
        <f t="shared" si="11"/>
        <v>0</v>
      </c>
      <c r="L67" s="197">
        <f t="shared" si="11"/>
        <v>371338</v>
      </c>
      <c r="M67" s="197">
        <f t="shared" si="11"/>
        <v>106338</v>
      </c>
      <c r="N67" s="197">
        <f t="shared" si="11"/>
        <v>114838</v>
      </c>
    </row>
    <row r="68" spans="1:14" s="50" customFormat="1" ht="24" customHeight="1" hidden="1">
      <c r="A68" s="173"/>
      <c r="B68" s="70" t="s">
        <v>197</v>
      </c>
      <c r="C68" s="53">
        <v>62</v>
      </c>
      <c r="D68" s="53">
        <v>0</v>
      </c>
      <c r="E68" s="53">
        <v>15</v>
      </c>
      <c r="F68" s="201">
        <v>862</v>
      </c>
      <c r="G68" s="230" t="s">
        <v>229</v>
      </c>
      <c r="H68" s="228" t="s">
        <v>308</v>
      </c>
      <c r="I68" s="195" t="s">
        <v>25</v>
      </c>
      <c r="J68" s="197">
        <f t="shared" si="11"/>
        <v>371338</v>
      </c>
      <c r="K68" s="197">
        <f t="shared" si="11"/>
        <v>0</v>
      </c>
      <c r="L68" s="197">
        <f t="shared" si="11"/>
        <v>371338</v>
      </c>
      <c r="M68" s="197">
        <f t="shared" si="11"/>
        <v>106338</v>
      </c>
      <c r="N68" s="197">
        <f t="shared" si="11"/>
        <v>114838</v>
      </c>
    </row>
    <row r="69" spans="1:14" s="50" customFormat="1" ht="23.25" customHeight="1" hidden="1">
      <c r="A69" s="173"/>
      <c r="B69" s="174" t="s">
        <v>94</v>
      </c>
      <c r="C69" s="53">
        <v>62</v>
      </c>
      <c r="D69" s="53">
        <v>0</v>
      </c>
      <c r="E69" s="53">
        <v>15</v>
      </c>
      <c r="F69" s="201">
        <v>862</v>
      </c>
      <c r="G69" s="230" t="s">
        <v>229</v>
      </c>
      <c r="H69" s="228" t="s">
        <v>308</v>
      </c>
      <c r="I69" s="195" t="s">
        <v>26</v>
      </c>
      <c r="J69" s="197">
        <f>'6.Вед.19-21 '!L90</f>
        <v>371338</v>
      </c>
      <c r="K69" s="197">
        <f>'6.Вед.19-21 '!M90</f>
        <v>0</v>
      </c>
      <c r="L69" s="197">
        <f>'6.Вед.19-21 '!N90</f>
        <v>371338</v>
      </c>
      <c r="M69" s="197">
        <f>'6.Вед.19-21 '!O90</f>
        <v>106338</v>
      </c>
      <c r="N69" s="197">
        <f>'6.Вед.19-21 '!P90</f>
        <v>114838</v>
      </c>
    </row>
    <row r="70" spans="1:14" s="50" customFormat="1" ht="16.5" customHeight="1" hidden="1">
      <c r="A70" s="198"/>
      <c r="B70" s="267" t="s">
        <v>352</v>
      </c>
      <c r="C70" s="53">
        <v>62</v>
      </c>
      <c r="D70" s="53">
        <v>0</v>
      </c>
      <c r="E70" s="53">
        <v>15</v>
      </c>
      <c r="F70" s="201">
        <v>862</v>
      </c>
      <c r="G70" s="230" t="s">
        <v>359</v>
      </c>
      <c r="H70" s="228"/>
      <c r="I70" s="195"/>
      <c r="J70" s="197">
        <f aca="true" t="shared" si="12" ref="J70:N71">J71</f>
        <v>61000</v>
      </c>
      <c r="K70" s="197">
        <f t="shared" si="12"/>
        <v>0</v>
      </c>
      <c r="L70" s="197">
        <f t="shared" si="12"/>
        <v>61000</v>
      </c>
      <c r="M70" s="197">
        <f t="shared" si="12"/>
        <v>5000</v>
      </c>
      <c r="N70" s="197">
        <f t="shared" si="12"/>
        <v>10000</v>
      </c>
    </row>
    <row r="71" spans="1:14" s="50" customFormat="1" ht="23.25" customHeight="1" hidden="1">
      <c r="A71" s="198"/>
      <c r="B71" s="70" t="s">
        <v>197</v>
      </c>
      <c r="C71" s="53">
        <v>62</v>
      </c>
      <c r="D71" s="53">
        <v>0</v>
      </c>
      <c r="E71" s="53">
        <v>15</v>
      </c>
      <c r="F71" s="201">
        <v>862</v>
      </c>
      <c r="G71" s="230" t="s">
        <v>359</v>
      </c>
      <c r="H71" s="228"/>
      <c r="I71" s="195" t="s">
        <v>25</v>
      </c>
      <c r="J71" s="197">
        <f t="shared" si="12"/>
        <v>61000</v>
      </c>
      <c r="K71" s="197">
        <f t="shared" si="12"/>
        <v>0</v>
      </c>
      <c r="L71" s="197">
        <f t="shared" si="12"/>
        <v>61000</v>
      </c>
      <c r="M71" s="197">
        <f t="shared" si="12"/>
        <v>5000</v>
      </c>
      <c r="N71" s="197">
        <f t="shared" si="12"/>
        <v>10000</v>
      </c>
    </row>
    <row r="72" spans="1:14" s="50" customFormat="1" ht="25.5" customHeight="1" hidden="1">
      <c r="A72" s="198"/>
      <c r="B72" s="174" t="s">
        <v>94</v>
      </c>
      <c r="C72" s="53">
        <v>62</v>
      </c>
      <c r="D72" s="53">
        <v>0</v>
      </c>
      <c r="E72" s="53">
        <v>15</v>
      </c>
      <c r="F72" s="201">
        <v>862</v>
      </c>
      <c r="G72" s="230" t="s">
        <v>359</v>
      </c>
      <c r="H72" s="228"/>
      <c r="I72" s="195" t="s">
        <v>26</v>
      </c>
      <c r="J72" s="197">
        <f>'6.Вед.19-21 '!L93</f>
        <v>61000</v>
      </c>
      <c r="K72" s="197">
        <f>'6.Вед.19-21 '!M93</f>
        <v>0</v>
      </c>
      <c r="L72" s="197">
        <f>'6.Вед.19-21 '!N93</f>
        <v>61000</v>
      </c>
      <c r="M72" s="197">
        <f>'6.Вед.19-21 '!O93</f>
        <v>5000</v>
      </c>
      <c r="N72" s="197">
        <f>'6.Вед.19-21 '!P93</f>
        <v>10000</v>
      </c>
    </row>
    <row r="73" spans="1:14" s="50" customFormat="1" ht="15" customHeight="1">
      <c r="A73" s="373" t="s">
        <v>100</v>
      </c>
      <c r="B73" s="374"/>
      <c r="C73" s="53">
        <v>62</v>
      </c>
      <c r="D73" s="53">
        <v>0</v>
      </c>
      <c r="E73" s="53">
        <v>15</v>
      </c>
      <c r="F73" s="201">
        <v>862</v>
      </c>
      <c r="G73" s="230" t="s">
        <v>309</v>
      </c>
      <c r="H73" s="228" t="s">
        <v>310</v>
      </c>
      <c r="I73" s="195"/>
      <c r="J73" s="197">
        <f aca="true" t="shared" si="13" ref="J73:N74">J74</f>
        <v>1398938</v>
      </c>
      <c r="K73" s="197">
        <f t="shared" si="13"/>
        <v>503333</v>
      </c>
      <c r="L73" s="197">
        <f t="shared" si="13"/>
        <v>1902271</v>
      </c>
      <c r="M73" s="197">
        <f t="shared" si="13"/>
        <v>6298</v>
      </c>
      <c r="N73" s="197">
        <f t="shared" si="13"/>
        <v>21413</v>
      </c>
    </row>
    <row r="74" spans="1:14" s="50" customFormat="1" ht="25.5" customHeight="1">
      <c r="A74" s="173"/>
      <c r="B74" s="70" t="s">
        <v>197</v>
      </c>
      <c r="C74" s="53">
        <v>62</v>
      </c>
      <c r="D74" s="53">
        <v>0</v>
      </c>
      <c r="E74" s="53">
        <v>15</v>
      </c>
      <c r="F74" s="201">
        <v>862</v>
      </c>
      <c r="G74" s="230" t="s">
        <v>309</v>
      </c>
      <c r="H74" s="228" t="s">
        <v>310</v>
      </c>
      <c r="I74" s="195" t="s">
        <v>25</v>
      </c>
      <c r="J74" s="197">
        <f t="shared" si="13"/>
        <v>1398938</v>
      </c>
      <c r="K74" s="197">
        <f t="shared" si="13"/>
        <v>503333</v>
      </c>
      <c r="L74" s="197">
        <f t="shared" si="13"/>
        <v>1902271</v>
      </c>
      <c r="M74" s="197">
        <f t="shared" si="13"/>
        <v>6298</v>
      </c>
      <c r="N74" s="197">
        <f t="shared" si="13"/>
        <v>21413</v>
      </c>
    </row>
    <row r="75" spans="1:14" ht="24" customHeight="1">
      <c r="A75" s="173"/>
      <c r="B75" s="174" t="s">
        <v>94</v>
      </c>
      <c r="C75" s="53">
        <v>62</v>
      </c>
      <c r="D75" s="53">
        <v>0</v>
      </c>
      <c r="E75" s="53">
        <v>15</v>
      </c>
      <c r="F75" s="201">
        <v>862</v>
      </c>
      <c r="G75" s="230" t="s">
        <v>309</v>
      </c>
      <c r="H75" s="228" t="s">
        <v>310</v>
      </c>
      <c r="I75" s="195" t="s">
        <v>26</v>
      </c>
      <c r="J75" s="87">
        <f>'6.Вед.19-21 '!L96</f>
        <v>1398938</v>
      </c>
      <c r="K75" s="87">
        <f>'6.Вед.19-21 '!M96</f>
        <v>503333</v>
      </c>
      <c r="L75" s="87">
        <f>'6.Вед.19-21 '!N96</f>
        <v>1902271</v>
      </c>
      <c r="M75" s="87">
        <f>'6.Вед.19-21 '!O96</f>
        <v>6298</v>
      </c>
      <c r="N75" s="87">
        <f>'6.Вед.19-21 '!P96</f>
        <v>21413</v>
      </c>
    </row>
    <row r="76" spans="1:14" ht="14.25" customHeight="1" hidden="1">
      <c r="A76" s="198"/>
      <c r="B76" s="320" t="s">
        <v>400</v>
      </c>
      <c r="C76" s="53">
        <v>62</v>
      </c>
      <c r="D76" s="53">
        <v>0</v>
      </c>
      <c r="E76" s="53">
        <v>15</v>
      </c>
      <c r="F76" s="201">
        <v>862</v>
      </c>
      <c r="G76" s="230" t="s">
        <v>407</v>
      </c>
      <c r="H76" s="228"/>
      <c r="I76" s="195"/>
      <c r="J76" s="87">
        <f aca="true" t="shared" si="14" ref="J76:L77">J77</f>
        <v>450000</v>
      </c>
      <c r="K76" s="87">
        <f t="shared" si="14"/>
        <v>0</v>
      </c>
      <c r="L76" s="87">
        <f t="shared" si="14"/>
        <v>450000</v>
      </c>
      <c r="M76" s="87"/>
      <c r="N76" s="87"/>
    </row>
    <row r="77" spans="1:14" ht="24" customHeight="1" hidden="1">
      <c r="A77" s="198"/>
      <c r="B77" s="70" t="s">
        <v>197</v>
      </c>
      <c r="C77" s="53">
        <v>62</v>
      </c>
      <c r="D77" s="53">
        <v>0</v>
      </c>
      <c r="E77" s="53">
        <v>15</v>
      </c>
      <c r="F77" s="201">
        <v>862</v>
      </c>
      <c r="G77" s="230" t="s">
        <v>407</v>
      </c>
      <c r="H77" s="228"/>
      <c r="I77" s="195" t="s">
        <v>25</v>
      </c>
      <c r="J77" s="87">
        <f t="shared" si="14"/>
        <v>450000</v>
      </c>
      <c r="K77" s="87">
        <f t="shared" si="14"/>
        <v>0</v>
      </c>
      <c r="L77" s="87">
        <f t="shared" si="14"/>
        <v>450000</v>
      </c>
      <c r="M77" s="87"/>
      <c r="N77" s="87"/>
    </row>
    <row r="78" spans="1:14" ht="24" customHeight="1" hidden="1">
      <c r="A78" s="198"/>
      <c r="B78" s="174" t="s">
        <v>94</v>
      </c>
      <c r="C78" s="53">
        <v>62</v>
      </c>
      <c r="D78" s="53">
        <v>0</v>
      </c>
      <c r="E78" s="53">
        <v>15</v>
      </c>
      <c r="F78" s="201">
        <v>862</v>
      </c>
      <c r="G78" s="230" t="s">
        <v>407</v>
      </c>
      <c r="H78" s="228"/>
      <c r="I78" s="195" t="s">
        <v>26</v>
      </c>
      <c r="J78" s="87">
        <f>'7.Функ.19-21'!L101</f>
        <v>450000</v>
      </c>
      <c r="K78" s="87">
        <f>'7.Функ.19-21'!M101</f>
        <v>0</v>
      </c>
      <c r="L78" s="87">
        <f>J78+K78</f>
        <v>450000</v>
      </c>
      <c r="M78" s="87"/>
      <c r="N78" s="87"/>
    </row>
    <row r="79" spans="1:14" ht="16.5" customHeight="1">
      <c r="A79" s="198"/>
      <c r="B79" s="318" t="s">
        <v>398</v>
      </c>
      <c r="C79" s="53">
        <v>62</v>
      </c>
      <c r="D79" s="53">
        <v>0</v>
      </c>
      <c r="E79" s="53">
        <v>15</v>
      </c>
      <c r="F79" s="201">
        <v>862</v>
      </c>
      <c r="G79" s="230" t="s">
        <v>408</v>
      </c>
      <c r="H79" s="228"/>
      <c r="I79" s="195"/>
      <c r="J79" s="87">
        <f aca="true" t="shared" si="15" ref="J79:L80">J80</f>
        <v>550000</v>
      </c>
      <c r="K79" s="87">
        <f t="shared" si="15"/>
        <v>740767</v>
      </c>
      <c r="L79" s="87">
        <f t="shared" si="15"/>
        <v>1290767</v>
      </c>
      <c r="M79" s="87"/>
      <c r="N79" s="87"/>
    </row>
    <row r="80" spans="1:14" ht="24" customHeight="1">
      <c r="A80" s="198"/>
      <c r="B80" s="70" t="s">
        <v>197</v>
      </c>
      <c r="C80" s="53">
        <v>62</v>
      </c>
      <c r="D80" s="53">
        <v>0</v>
      </c>
      <c r="E80" s="53">
        <v>15</v>
      </c>
      <c r="F80" s="201">
        <v>862</v>
      </c>
      <c r="G80" s="230" t="s">
        <v>408</v>
      </c>
      <c r="H80" s="228"/>
      <c r="I80" s="195" t="s">
        <v>25</v>
      </c>
      <c r="J80" s="87">
        <f t="shared" si="15"/>
        <v>550000</v>
      </c>
      <c r="K80" s="87">
        <f t="shared" si="15"/>
        <v>740767</v>
      </c>
      <c r="L80" s="87">
        <f t="shared" si="15"/>
        <v>1290767</v>
      </c>
      <c r="M80" s="87"/>
      <c r="N80" s="87"/>
    </row>
    <row r="81" spans="1:14" ht="24" customHeight="1">
      <c r="A81" s="198"/>
      <c r="B81" s="57" t="s">
        <v>94</v>
      </c>
      <c r="C81" s="53">
        <v>62</v>
      </c>
      <c r="D81" s="53">
        <v>0</v>
      </c>
      <c r="E81" s="53">
        <v>15</v>
      </c>
      <c r="F81" s="201">
        <v>862</v>
      </c>
      <c r="G81" s="230" t="s">
        <v>408</v>
      </c>
      <c r="H81" s="228"/>
      <c r="I81" s="195" t="s">
        <v>26</v>
      </c>
      <c r="J81" s="87">
        <f>'7.Функ.19-21'!L84</f>
        <v>550000</v>
      </c>
      <c r="K81" s="87">
        <f>'7.Функ.19-21'!M84</f>
        <v>740767</v>
      </c>
      <c r="L81" s="87">
        <f>J81+K81</f>
        <v>1290767</v>
      </c>
      <c r="M81" s="87"/>
      <c r="N81" s="87"/>
    </row>
    <row r="82" spans="1:14" ht="73.5" customHeight="1" hidden="1">
      <c r="A82" s="198"/>
      <c r="B82" s="272" t="s">
        <v>377</v>
      </c>
      <c r="C82" s="236">
        <v>62</v>
      </c>
      <c r="D82" s="236">
        <v>0</v>
      </c>
      <c r="E82" s="236">
        <v>15</v>
      </c>
      <c r="F82" s="240">
        <v>862</v>
      </c>
      <c r="G82" s="230" t="s">
        <v>378</v>
      </c>
      <c r="H82" s="228"/>
      <c r="I82" s="195"/>
      <c r="J82" s="87">
        <f aca="true" t="shared" si="16" ref="J82:N83">J83</f>
        <v>300</v>
      </c>
      <c r="K82" s="87">
        <f t="shared" si="16"/>
        <v>0</v>
      </c>
      <c r="L82" s="87">
        <f t="shared" si="16"/>
        <v>300</v>
      </c>
      <c r="M82" s="87">
        <f t="shared" si="16"/>
        <v>300</v>
      </c>
      <c r="N82" s="87">
        <f t="shared" si="16"/>
        <v>300</v>
      </c>
    </row>
    <row r="83" spans="1:14" ht="24" customHeight="1" hidden="1">
      <c r="A83" s="198"/>
      <c r="B83" s="70" t="s">
        <v>197</v>
      </c>
      <c r="C83" s="236">
        <v>62</v>
      </c>
      <c r="D83" s="236">
        <v>0</v>
      </c>
      <c r="E83" s="236">
        <v>15</v>
      </c>
      <c r="F83" s="240">
        <v>862</v>
      </c>
      <c r="G83" s="230" t="s">
        <v>378</v>
      </c>
      <c r="H83" s="228"/>
      <c r="I83" s="195" t="s">
        <v>25</v>
      </c>
      <c r="J83" s="87">
        <f t="shared" si="16"/>
        <v>300</v>
      </c>
      <c r="K83" s="87">
        <f t="shared" si="16"/>
        <v>0</v>
      </c>
      <c r="L83" s="87">
        <f t="shared" si="16"/>
        <v>300</v>
      </c>
      <c r="M83" s="87">
        <f t="shared" si="16"/>
        <v>300</v>
      </c>
      <c r="N83" s="87">
        <f t="shared" si="16"/>
        <v>300</v>
      </c>
    </row>
    <row r="84" spans="1:14" ht="24" customHeight="1" hidden="1">
      <c r="A84" s="198"/>
      <c r="B84" s="57" t="s">
        <v>94</v>
      </c>
      <c r="C84" s="236">
        <v>62</v>
      </c>
      <c r="D84" s="236">
        <v>0</v>
      </c>
      <c r="E84" s="236">
        <v>15</v>
      </c>
      <c r="F84" s="240">
        <v>862</v>
      </c>
      <c r="G84" s="230" t="s">
        <v>378</v>
      </c>
      <c r="H84" s="228"/>
      <c r="I84" s="195" t="s">
        <v>26</v>
      </c>
      <c r="J84" s="87">
        <f>'6.Вед.19-21 '!L86</f>
        <v>300</v>
      </c>
      <c r="K84" s="87">
        <f>'6.Вед.19-21 '!M86</f>
        <v>0</v>
      </c>
      <c r="L84" s="87">
        <f>'6.Вед.19-21 '!N86</f>
        <v>300</v>
      </c>
      <c r="M84" s="87">
        <f>'6.Вед.19-21 '!O86</f>
        <v>300</v>
      </c>
      <c r="N84" s="87">
        <f>'6.Вед.19-21 '!P86</f>
        <v>300</v>
      </c>
    </row>
    <row r="85" spans="1:14" s="50" customFormat="1" ht="97.5" customHeight="1" hidden="1">
      <c r="A85" s="381" t="s">
        <v>216</v>
      </c>
      <c r="B85" s="382"/>
      <c r="C85" s="53">
        <v>62</v>
      </c>
      <c r="D85" s="53">
        <v>0</v>
      </c>
      <c r="E85" s="53">
        <v>15</v>
      </c>
      <c r="F85" s="201">
        <v>862</v>
      </c>
      <c r="G85" s="230" t="s">
        <v>228</v>
      </c>
      <c r="H85" s="228" t="s">
        <v>311</v>
      </c>
      <c r="I85" s="195"/>
      <c r="J85" s="197">
        <f aca="true" t="shared" si="17" ref="J85:N86">J86</f>
        <v>300</v>
      </c>
      <c r="K85" s="197">
        <f t="shared" si="17"/>
        <v>0</v>
      </c>
      <c r="L85" s="197">
        <f t="shared" si="17"/>
        <v>300</v>
      </c>
      <c r="M85" s="197">
        <f t="shared" si="17"/>
        <v>300</v>
      </c>
      <c r="N85" s="197">
        <f t="shared" si="17"/>
        <v>300</v>
      </c>
    </row>
    <row r="86" spans="1:14" s="50" customFormat="1" ht="24.75" customHeight="1" hidden="1">
      <c r="A86" s="48"/>
      <c r="B86" s="70" t="s">
        <v>197</v>
      </c>
      <c r="C86" s="53">
        <v>62</v>
      </c>
      <c r="D86" s="53">
        <v>0</v>
      </c>
      <c r="E86" s="53">
        <v>15</v>
      </c>
      <c r="F86" s="201">
        <v>862</v>
      </c>
      <c r="G86" s="230" t="s">
        <v>228</v>
      </c>
      <c r="H86" s="228" t="s">
        <v>311</v>
      </c>
      <c r="I86" s="195" t="s">
        <v>25</v>
      </c>
      <c r="J86" s="197">
        <f t="shared" si="17"/>
        <v>300</v>
      </c>
      <c r="K86" s="197">
        <f t="shared" si="17"/>
        <v>0</v>
      </c>
      <c r="L86" s="197">
        <f t="shared" si="17"/>
        <v>300</v>
      </c>
      <c r="M86" s="197">
        <f t="shared" si="17"/>
        <v>300</v>
      </c>
      <c r="N86" s="197">
        <f t="shared" si="17"/>
        <v>300</v>
      </c>
    </row>
    <row r="87" spans="1:14" s="50" customFormat="1" ht="24" customHeight="1" hidden="1">
      <c r="A87" s="48"/>
      <c r="B87" s="174" t="s">
        <v>94</v>
      </c>
      <c r="C87" s="53">
        <v>62</v>
      </c>
      <c r="D87" s="53">
        <v>0</v>
      </c>
      <c r="E87" s="53">
        <v>15</v>
      </c>
      <c r="F87" s="201">
        <v>862</v>
      </c>
      <c r="G87" s="230" t="s">
        <v>228</v>
      </c>
      <c r="H87" s="228" t="s">
        <v>311</v>
      </c>
      <c r="I87" s="195" t="s">
        <v>26</v>
      </c>
      <c r="J87" s="197">
        <f>'6.Вед.19-21 '!L79</f>
        <v>300</v>
      </c>
      <c r="K87" s="197">
        <f>'6.Вед.19-21 '!M79</f>
        <v>0</v>
      </c>
      <c r="L87" s="197">
        <f>'6.Вед.19-21 '!N79</f>
        <v>300</v>
      </c>
      <c r="M87" s="197">
        <f>'6.Вед.19-21 '!O79</f>
        <v>300</v>
      </c>
      <c r="N87" s="197">
        <f>'6.Вед.19-21 '!P79</f>
        <v>300</v>
      </c>
    </row>
    <row r="88" spans="1:14" s="50" customFormat="1" ht="15.75" customHeight="1" hidden="1">
      <c r="A88" s="176"/>
      <c r="B88" s="325" t="s">
        <v>422</v>
      </c>
      <c r="C88" s="169">
        <v>62</v>
      </c>
      <c r="D88" s="169">
        <v>0</v>
      </c>
      <c r="E88" s="169">
        <v>17</v>
      </c>
      <c r="F88" s="201"/>
      <c r="G88" s="230"/>
      <c r="H88" s="228"/>
      <c r="I88" s="195"/>
      <c r="J88" s="197">
        <f>J89</f>
        <v>75000</v>
      </c>
      <c r="K88" s="193">
        <f aca="true" t="shared" si="18" ref="K88:L91">K89</f>
        <v>0</v>
      </c>
      <c r="L88" s="193">
        <f t="shared" si="18"/>
        <v>75000</v>
      </c>
      <c r="M88" s="197"/>
      <c r="N88" s="197"/>
    </row>
    <row r="89" spans="1:14" s="50" customFormat="1" ht="18" customHeight="1" hidden="1">
      <c r="A89" s="176"/>
      <c r="B89" s="325" t="s">
        <v>423</v>
      </c>
      <c r="C89" s="169">
        <v>62</v>
      </c>
      <c r="D89" s="169">
        <v>0</v>
      </c>
      <c r="E89" s="169">
        <v>17</v>
      </c>
      <c r="F89" s="205">
        <v>862</v>
      </c>
      <c r="G89" s="230"/>
      <c r="H89" s="228"/>
      <c r="I89" s="195"/>
      <c r="J89" s="197">
        <f>J90</f>
        <v>75000</v>
      </c>
      <c r="K89" s="197">
        <f t="shared" si="18"/>
        <v>0</v>
      </c>
      <c r="L89" s="197">
        <f t="shared" si="18"/>
        <v>75000</v>
      </c>
      <c r="M89" s="197"/>
      <c r="N89" s="197"/>
    </row>
    <row r="90" spans="1:14" s="50" customFormat="1" ht="29.25" customHeight="1" hidden="1">
      <c r="A90" s="176"/>
      <c r="B90" s="327" t="s">
        <v>425</v>
      </c>
      <c r="C90" s="53">
        <v>62</v>
      </c>
      <c r="D90" s="53">
        <v>0</v>
      </c>
      <c r="E90" s="53">
        <v>17</v>
      </c>
      <c r="F90" s="201">
        <v>862</v>
      </c>
      <c r="G90" s="230" t="s">
        <v>431</v>
      </c>
      <c r="H90" s="228"/>
      <c r="I90" s="195"/>
      <c r="J90" s="197">
        <f>J91</f>
        <v>75000</v>
      </c>
      <c r="K90" s="197">
        <f t="shared" si="18"/>
        <v>0</v>
      </c>
      <c r="L90" s="197">
        <f t="shared" si="18"/>
        <v>75000</v>
      </c>
      <c r="M90" s="197"/>
      <c r="N90" s="197"/>
    </row>
    <row r="91" spans="1:14" s="50" customFormat="1" ht="24" customHeight="1" hidden="1">
      <c r="A91" s="176"/>
      <c r="B91" s="329" t="s">
        <v>427</v>
      </c>
      <c r="C91" s="53">
        <v>62</v>
      </c>
      <c r="D91" s="53">
        <v>0</v>
      </c>
      <c r="E91" s="53">
        <v>17</v>
      </c>
      <c r="F91" s="201">
        <v>862</v>
      </c>
      <c r="G91" s="230" t="s">
        <v>431</v>
      </c>
      <c r="H91" s="228"/>
      <c r="I91" s="195" t="s">
        <v>428</v>
      </c>
      <c r="J91" s="197">
        <f>J92</f>
        <v>75000</v>
      </c>
      <c r="K91" s="197">
        <f t="shared" si="18"/>
        <v>0</v>
      </c>
      <c r="L91" s="197">
        <f t="shared" si="18"/>
        <v>75000</v>
      </c>
      <c r="M91" s="197"/>
      <c r="N91" s="197"/>
    </row>
    <row r="92" spans="1:14" s="50" customFormat="1" ht="24" customHeight="1" hidden="1">
      <c r="A92" s="176"/>
      <c r="B92" s="177" t="s">
        <v>429</v>
      </c>
      <c r="C92" s="53">
        <v>62</v>
      </c>
      <c r="D92" s="53">
        <v>0</v>
      </c>
      <c r="E92" s="53">
        <v>17</v>
      </c>
      <c r="F92" s="201">
        <v>862</v>
      </c>
      <c r="G92" s="230" t="s">
        <v>431</v>
      </c>
      <c r="H92" s="228"/>
      <c r="I92" s="195" t="s">
        <v>430</v>
      </c>
      <c r="J92" s="197">
        <v>75000</v>
      </c>
      <c r="K92" s="197"/>
      <c r="L92" s="197">
        <f>J92+K92</f>
        <v>75000</v>
      </c>
      <c r="M92" s="197"/>
      <c r="N92" s="197"/>
    </row>
    <row r="93" spans="1:14" s="36" customFormat="1" ht="14.25" customHeight="1" hidden="1">
      <c r="A93" s="160"/>
      <c r="B93" s="203" t="s">
        <v>312</v>
      </c>
      <c r="C93" s="169">
        <v>62</v>
      </c>
      <c r="D93" s="169">
        <v>0</v>
      </c>
      <c r="E93" s="169">
        <v>18</v>
      </c>
      <c r="F93" s="205"/>
      <c r="G93" s="181"/>
      <c r="H93" s="191"/>
      <c r="I93" s="183"/>
      <c r="J93" s="88">
        <f aca="true" t="shared" si="19" ref="J93:L96">J94</f>
        <v>4000</v>
      </c>
      <c r="K93" s="88">
        <f t="shared" si="19"/>
        <v>0</v>
      </c>
      <c r="L93" s="88">
        <f t="shared" si="19"/>
        <v>4000</v>
      </c>
      <c r="M93" s="88">
        <f aca="true" t="shared" si="20" ref="M93:N96">M94</f>
        <v>4000</v>
      </c>
      <c r="N93" s="88">
        <f t="shared" si="20"/>
        <v>4000</v>
      </c>
    </row>
    <row r="94" spans="1:14" s="36" customFormat="1" ht="14.25" customHeight="1" hidden="1">
      <c r="A94" s="160"/>
      <c r="B94" s="170" t="s">
        <v>199</v>
      </c>
      <c r="C94" s="169">
        <v>62</v>
      </c>
      <c r="D94" s="169">
        <v>0</v>
      </c>
      <c r="E94" s="169">
        <v>18</v>
      </c>
      <c r="F94" s="205">
        <v>862</v>
      </c>
      <c r="G94" s="181"/>
      <c r="H94" s="191"/>
      <c r="I94" s="183"/>
      <c r="J94" s="88">
        <f t="shared" si="19"/>
        <v>4000</v>
      </c>
      <c r="K94" s="88">
        <f t="shared" si="19"/>
        <v>0</v>
      </c>
      <c r="L94" s="88">
        <f t="shared" si="19"/>
        <v>4000</v>
      </c>
      <c r="M94" s="88">
        <f t="shared" si="20"/>
        <v>4000</v>
      </c>
      <c r="N94" s="88">
        <f t="shared" si="20"/>
        <v>4000</v>
      </c>
    </row>
    <row r="95" spans="1:14" ht="98.25" customHeight="1" hidden="1">
      <c r="A95" s="373" t="s">
        <v>220</v>
      </c>
      <c r="B95" s="374"/>
      <c r="C95" s="53">
        <v>62</v>
      </c>
      <c r="D95" s="53">
        <v>0</v>
      </c>
      <c r="E95" s="53">
        <v>18</v>
      </c>
      <c r="F95" s="201">
        <v>862</v>
      </c>
      <c r="G95" s="195" t="s">
        <v>230</v>
      </c>
      <c r="H95" s="228" t="s">
        <v>313</v>
      </c>
      <c r="I95" s="166"/>
      <c r="J95" s="87">
        <f t="shared" si="19"/>
        <v>4000</v>
      </c>
      <c r="K95" s="87">
        <f t="shared" si="19"/>
        <v>0</v>
      </c>
      <c r="L95" s="87">
        <f t="shared" si="19"/>
        <v>4000</v>
      </c>
      <c r="M95" s="87">
        <f t="shared" si="20"/>
        <v>4000</v>
      </c>
      <c r="N95" s="87">
        <f t="shared" si="20"/>
        <v>4000</v>
      </c>
    </row>
    <row r="96" spans="1:14" ht="17.25" customHeight="1" hidden="1">
      <c r="A96" s="173"/>
      <c r="B96" s="177" t="s">
        <v>59</v>
      </c>
      <c r="C96" s="53">
        <v>62</v>
      </c>
      <c r="D96" s="53">
        <v>0</v>
      </c>
      <c r="E96" s="53">
        <v>18</v>
      </c>
      <c r="F96" s="201">
        <v>862</v>
      </c>
      <c r="G96" s="195" t="s">
        <v>230</v>
      </c>
      <c r="H96" s="228" t="s">
        <v>313</v>
      </c>
      <c r="I96" s="166" t="s">
        <v>46</v>
      </c>
      <c r="J96" s="87">
        <f t="shared" si="19"/>
        <v>4000</v>
      </c>
      <c r="K96" s="87">
        <f t="shared" si="19"/>
        <v>0</v>
      </c>
      <c r="L96" s="87">
        <f t="shared" si="19"/>
        <v>4000</v>
      </c>
      <c r="M96" s="87">
        <f t="shared" si="20"/>
        <v>4000</v>
      </c>
      <c r="N96" s="87">
        <f t="shared" si="20"/>
        <v>4000</v>
      </c>
    </row>
    <row r="97" spans="1:14" ht="13.5" customHeight="1" hidden="1">
      <c r="A97" s="173"/>
      <c r="B97" s="178" t="s">
        <v>69</v>
      </c>
      <c r="C97" s="53">
        <v>62</v>
      </c>
      <c r="D97" s="53">
        <v>0</v>
      </c>
      <c r="E97" s="53">
        <v>18</v>
      </c>
      <c r="F97" s="201">
        <v>862</v>
      </c>
      <c r="G97" s="195" t="s">
        <v>230</v>
      </c>
      <c r="H97" s="228" t="s">
        <v>313</v>
      </c>
      <c r="I97" s="230" t="s">
        <v>32</v>
      </c>
      <c r="J97" s="87">
        <f>'6.Вед.19-21 '!L110</f>
        <v>4000</v>
      </c>
      <c r="K97" s="87">
        <f>'6.Вед.19-21 '!M110</f>
        <v>0</v>
      </c>
      <c r="L97" s="87">
        <f>'6.Вед.19-21 '!N110</f>
        <v>4000</v>
      </c>
      <c r="M97" s="87">
        <f>'6.Вед.19-21 '!O110</f>
        <v>4000</v>
      </c>
      <c r="N97" s="87">
        <f>'6.Вед.19-21 '!P110</f>
        <v>4000</v>
      </c>
    </row>
    <row r="98" spans="1:14" ht="16.5" customHeight="1" hidden="1">
      <c r="A98" s="204"/>
      <c r="B98" s="242" t="s">
        <v>314</v>
      </c>
      <c r="C98" s="206">
        <v>70</v>
      </c>
      <c r="D98" s="165"/>
      <c r="E98" s="165"/>
      <c r="F98" s="201"/>
      <c r="G98" s="166"/>
      <c r="H98" s="196"/>
      <c r="I98" s="166"/>
      <c r="J98" s="208">
        <f>J100</f>
        <v>6600</v>
      </c>
      <c r="K98" s="208">
        <f>K100</f>
        <v>0</v>
      </c>
      <c r="L98" s="208">
        <f>L100</f>
        <v>6600</v>
      </c>
      <c r="M98" s="208">
        <f>M100+M104</f>
        <v>37015</v>
      </c>
      <c r="N98" s="208">
        <f>N100+N104</f>
        <v>75500</v>
      </c>
    </row>
    <row r="99" spans="1:14" ht="16.5" customHeight="1" hidden="1">
      <c r="A99" s="204"/>
      <c r="B99" s="170" t="s">
        <v>199</v>
      </c>
      <c r="C99" s="168">
        <v>70</v>
      </c>
      <c r="D99" s="209">
        <v>0</v>
      </c>
      <c r="E99" s="209" t="s">
        <v>315</v>
      </c>
      <c r="F99" s="201">
        <v>862</v>
      </c>
      <c r="G99" s="181"/>
      <c r="H99" s="192"/>
      <c r="I99" s="181"/>
      <c r="J99" s="88">
        <f aca="true" t="shared" si="21" ref="J99:N102">J100</f>
        <v>6600</v>
      </c>
      <c r="K99" s="88">
        <f t="shared" si="21"/>
        <v>0</v>
      </c>
      <c r="L99" s="88">
        <f t="shared" si="21"/>
        <v>6600</v>
      </c>
      <c r="M99" s="88">
        <f t="shared" si="21"/>
        <v>0</v>
      </c>
      <c r="N99" s="88">
        <f t="shared" si="21"/>
        <v>0</v>
      </c>
    </row>
    <row r="100" spans="1:14" s="36" customFormat="1" ht="15.75" customHeight="1" hidden="1">
      <c r="A100" s="404" t="s">
        <v>51</v>
      </c>
      <c r="B100" s="404"/>
      <c r="C100" s="169">
        <v>70</v>
      </c>
      <c r="D100" s="185">
        <v>0</v>
      </c>
      <c r="E100" s="185" t="s">
        <v>315</v>
      </c>
      <c r="F100" s="201">
        <v>862</v>
      </c>
      <c r="G100" s="181"/>
      <c r="H100" s="181"/>
      <c r="I100" s="181"/>
      <c r="J100" s="88">
        <f t="shared" si="21"/>
        <v>6600</v>
      </c>
      <c r="K100" s="88">
        <f t="shared" si="21"/>
        <v>0</v>
      </c>
      <c r="L100" s="88">
        <f t="shared" si="21"/>
        <v>6600</v>
      </c>
      <c r="M100" s="88">
        <f t="shared" si="21"/>
        <v>0</v>
      </c>
      <c r="N100" s="88">
        <f t="shared" si="21"/>
        <v>0</v>
      </c>
    </row>
    <row r="101" spans="1:14" ht="15.75" customHeight="1" hidden="1">
      <c r="A101" s="373" t="s">
        <v>70</v>
      </c>
      <c r="B101" s="374"/>
      <c r="C101" s="53">
        <v>70</v>
      </c>
      <c r="D101" s="53">
        <v>0</v>
      </c>
      <c r="E101" s="210" t="s">
        <v>315</v>
      </c>
      <c r="F101" s="201">
        <v>862</v>
      </c>
      <c r="G101" s="195" t="s">
        <v>360</v>
      </c>
      <c r="H101" s="228" t="s">
        <v>317</v>
      </c>
      <c r="I101" s="166"/>
      <c r="J101" s="87">
        <f t="shared" si="21"/>
        <v>6600</v>
      </c>
      <c r="K101" s="87">
        <f t="shared" si="21"/>
        <v>0</v>
      </c>
      <c r="L101" s="87">
        <f t="shared" si="21"/>
        <v>6600</v>
      </c>
      <c r="M101" s="87">
        <f t="shared" si="21"/>
        <v>0</v>
      </c>
      <c r="N101" s="87">
        <f t="shared" si="21"/>
        <v>0</v>
      </c>
    </row>
    <row r="102" spans="1:14" ht="12.75" customHeight="1" hidden="1">
      <c r="A102" s="173"/>
      <c r="B102" s="204" t="s">
        <v>27</v>
      </c>
      <c r="C102" s="53">
        <v>70</v>
      </c>
      <c r="D102" s="53">
        <v>0</v>
      </c>
      <c r="E102" s="210" t="s">
        <v>315</v>
      </c>
      <c r="F102" s="201">
        <v>862</v>
      </c>
      <c r="G102" s="195" t="s">
        <v>360</v>
      </c>
      <c r="H102" s="228" t="s">
        <v>317</v>
      </c>
      <c r="I102" s="166" t="s">
        <v>28</v>
      </c>
      <c r="J102" s="87">
        <f t="shared" si="21"/>
        <v>6600</v>
      </c>
      <c r="K102" s="87">
        <f t="shared" si="21"/>
        <v>0</v>
      </c>
      <c r="L102" s="87">
        <f t="shared" si="21"/>
        <v>6600</v>
      </c>
      <c r="M102" s="87">
        <f t="shared" si="21"/>
        <v>0</v>
      </c>
      <c r="N102" s="87">
        <f t="shared" si="21"/>
        <v>0</v>
      </c>
    </row>
    <row r="103" spans="1:14" ht="15.75" customHeight="1" hidden="1">
      <c r="A103" s="173"/>
      <c r="B103" s="177" t="s">
        <v>30</v>
      </c>
      <c r="C103" s="53">
        <v>70</v>
      </c>
      <c r="D103" s="53">
        <v>0</v>
      </c>
      <c r="E103" s="210" t="s">
        <v>315</v>
      </c>
      <c r="F103" s="201">
        <v>862</v>
      </c>
      <c r="G103" s="195" t="s">
        <v>360</v>
      </c>
      <c r="H103" s="228" t="s">
        <v>317</v>
      </c>
      <c r="I103" s="166" t="s">
        <v>350</v>
      </c>
      <c r="J103" s="87">
        <f>'6.Вед.19-21 '!L44</f>
        <v>6600</v>
      </c>
      <c r="K103" s="87">
        <f>'6.Вед.19-21 '!M44</f>
        <v>0</v>
      </c>
      <c r="L103" s="87">
        <f>'6.Вед.19-21 '!N44</f>
        <v>6600</v>
      </c>
      <c r="M103" s="87">
        <f>'6.Вед.19-21 '!O44</f>
        <v>0</v>
      </c>
      <c r="N103" s="87">
        <f>'6.Вед.19-21 '!P44</f>
        <v>0</v>
      </c>
    </row>
    <row r="104" spans="1:14" ht="15.75" customHeight="1" hidden="1">
      <c r="A104" s="173"/>
      <c r="B104" s="198" t="s">
        <v>34</v>
      </c>
      <c r="C104" s="53">
        <v>70</v>
      </c>
      <c r="D104" s="53">
        <v>0</v>
      </c>
      <c r="E104" s="210" t="s">
        <v>315</v>
      </c>
      <c r="F104" s="201">
        <v>862</v>
      </c>
      <c r="G104" s="166" t="s">
        <v>363</v>
      </c>
      <c r="H104" s="211" t="s">
        <v>318</v>
      </c>
      <c r="I104" s="166"/>
      <c r="J104" s="54"/>
      <c r="K104" s="54"/>
      <c r="L104" s="54"/>
      <c r="M104" s="54">
        <f>M105</f>
        <v>37015</v>
      </c>
      <c r="N104" s="54">
        <f>N105</f>
        <v>75500</v>
      </c>
    </row>
    <row r="105" spans="1:14" ht="15.75" customHeight="1" hidden="1">
      <c r="A105" s="173"/>
      <c r="B105" s="198" t="s">
        <v>34</v>
      </c>
      <c r="C105" s="53">
        <v>70</v>
      </c>
      <c r="D105" s="53">
        <v>0</v>
      </c>
      <c r="E105" s="210" t="s">
        <v>315</v>
      </c>
      <c r="F105" s="201">
        <v>862</v>
      </c>
      <c r="G105" s="166" t="s">
        <v>363</v>
      </c>
      <c r="H105" s="211" t="s">
        <v>318</v>
      </c>
      <c r="I105" s="166" t="s">
        <v>362</v>
      </c>
      <c r="J105" s="54"/>
      <c r="K105" s="54"/>
      <c r="L105" s="54"/>
      <c r="M105" s="54">
        <f>'6.Вед.19-21 '!O114</f>
        <v>37015</v>
      </c>
      <c r="N105" s="54">
        <f>'6.Вед.19-21 '!P114</f>
        <v>75500</v>
      </c>
    </row>
    <row r="106" spans="1:14" ht="14.25" customHeight="1">
      <c r="A106" s="212"/>
      <c r="B106" s="72" t="s">
        <v>33</v>
      </c>
      <c r="C106" s="169"/>
      <c r="D106" s="169"/>
      <c r="E106" s="169"/>
      <c r="F106" s="202"/>
      <c r="G106" s="181"/>
      <c r="H106" s="181"/>
      <c r="I106" s="181"/>
      <c r="J106" s="88">
        <f>J10+J46+J53+J60+J65+J93+J98+J81+J78+J30+J88</f>
        <v>5387226.71</v>
      </c>
      <c r="K106" s="88">
        <f>K10+K46+K53+K60+K65+K93+K98+K88</f>
        <v>1294019</v>
      </c>
      <c r="L106" s="88">
        <f>L10+L46+L53+L60+L65+L93+L98+L88</f>
        <v>6681245.71</v>
      </c>
      <c r="M106" s="88">
        <f>M10+M46+M53+M60+M65+M93+M98</f>
        <v>2136979</v>
      </c>
      <c r="N106" s="88">
        <f>N10+N46+N53+N60+N65+N93+N98</f>
        <v>2233550</v>
      </c>
    </row>
    <row r="107" ht="14.25">
      <c r="M107" s="269"/>
    </row>
  </sheetData>
  <sheetProtection/>
  <mergeCells count="15">
    <mergeCell ref="C1:J1"/>
    <mergeCell ref="A6:N6"/>
    <mergeCell ref="A8:B8"/>
    <mergeCell ref="A18:B18"/>
    <mergeCell ref="A40:B40"/>
    <mergeCell ref="C3:J3"/>
    <mergeCell ref="C2:L2"/>
    <mergeCell ref="C4:L4"/>
    <mergeCell ref="A95:B95"/>
    <mergeCell ref="A100:B100"/>
    <mergeCell ref="A101:B101"/>
    <mergeCell ref="A62:B62"/>
    <mergeCell ref="A67:B67"/>
    <mergeCell ref="A73:B73"/>
    <mergeCell ref="A85:B85"/>
  </mergeCells>
  <printOptions/>
  <pageMargins left="0.43" right="0.3937007874015748" top="0.35433070866141736" bottom="0.4330708661417323" header="0.3937007874015748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2019-10-24T10:06:01Z</cp:lastPrinted>
  <dcterms:created xsi:type="dcterms:W3CDTF">1996-10-08T23:32:33Z</dcterms:created>
  <dcterms:modified xsi:type="dcterms:W3CDTF">2019-11-14T12:21:25Z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