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3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<sst xmlns="http://schemas.openxmlformats.org/spreadsheetml/2006/main" count="1010" uniqueCount="556">
  <si>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</si>
  <si>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</si>
  <si>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</si>
  <si>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</si>
  <si>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</si>
  <si>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</si>
  <si>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</si>
  <si>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</si>
  <si>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</si>
  <si>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</si>
  <si>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</si>
  <si>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</si>
  <si>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</si>
  <si>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</si>
  <si>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</si>
  <si>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</si>
  <si>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</si>
  <si>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</si>
  <si>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</si>
  <si>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</si>
  <si>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</si>
  <si>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</si>
  <si>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</si>
  <si>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</si>
  <si>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</si>
  <si>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</si>
  <si>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</si>
  <si>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</si>
  <si>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</si>
  <si>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</si>
  <si>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</si>
  <si>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</si>
  <si>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</si>
  <si>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</si>
  <si>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</si>
  <si>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</si>
  <si>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</si>
  <si>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</si>
  <si>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</si>
  <si>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</si>
  <si>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</si>
  <si>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</si>
  <si>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</si>
  <si>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</si>
  <si>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</si>
  <si>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</si>
  <si>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</si>
  <si>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</si>
  <si>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</si>
  <si>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</si>
  <si>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</si>
  <si>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</si>
  <si>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</si>
  <si>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</si>
  <si>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</si>
  <si>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</si>
  <si>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</si>
  <si>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</si>
  <si>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</si>
  <si>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</si>
  <si>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</si>
  <si>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</si>
  <si>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</si>
  <si>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</si>
  <si>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</si>
  <si>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</si>
  <si>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</si>
  <si>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</si>
  <si>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</si>
  <si>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</si>
  <si>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</si>
  <si>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</si>
  <si>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</si>
  <si>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</si>
  <si>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</si>
  <si>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</si>
  <si>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</si>
  <si>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</si>
  <si>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</si>
  <si>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</si>
  <si>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</si>
  <si>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</si>
  <si>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</si>
  <si>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</si>
  <si>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</si>
  <si>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</si>
  <si>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</si>
  <si>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</si>
  <si>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</si>
  <si>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</si>
  <si>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</si>
  <si>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</si>
  <si>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</si>
  <si>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</si>
  <si>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</si>
  <si>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</si>
  <si>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</si>
  <si>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</si>
  <si>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</si>
  <si>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</si>
  <si>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</si>
  <si>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</si>
  <si>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</si>
  <si>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</si>
  <si>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</si>
  <si>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</si>
  <si>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</si>
  <si>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</si>
  <si>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</si>
  <si>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</si>
  <si>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</si>
  <si>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</si>
  <si>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</si>
  <si>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</si>
  <si>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</si>
  <si>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</si>
  <si>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</si>
  <si>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</si>
  <si>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</si>
  <si>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</si>
  <si>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</si>
  <si>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</si>
  <si>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</si>
  <si>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</si>
  <si>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</si>
  <si>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</si>
  <si>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</si>
  <si>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</si>
  <si>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</si>
  <si>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</si>
  <si>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</si>
  <si>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</si>
  <si>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</si>
  <si>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</si>
  <si>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</si>
  <si>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</si>
  <si>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</si>
  <si>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</si>
  <si>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</si>
  <si>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</si>
  <si>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</si>
  <si>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</si>
  <si>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</si>
  <si>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</si>
  <si>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</si>
  <si>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</si>
  <si>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</si>
  <si>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</si>
  <si>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</si>
  <si>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</si>
  <si>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</si>
  <si>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</si>
  <si>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</si>
  <si>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</si>
  <si>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</si>
  <si>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</si>
  <si>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</si>
  <si>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</si>
  <si>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</si>
  <si>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</si>
  <si>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</si>
  <si>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</si>
  <si>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</si>
  <si>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</si>
  <si>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</si>
  <si>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</si>
  <si>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</si>
  <si>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</si>
  <si>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</si>
  <si>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</si>
  <si>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</si>
  <si>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</si>
  <si>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</si>
  <si>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</si>
  <si>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</si>
  <si>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</si>
  <si>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</si>
  <si>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</si>
  <si>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</si>
  <si>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</si>
  <si>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</si>
  <si>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</si>
  <si>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</si>
  <si>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</si>
  <si>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</si>
  <si>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</si>
  <si>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</si>
  <si>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</si>
  <si>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</si>
  <si>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</si>
  <si>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</si>
  <si>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</si>
  <si>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</si>
  <si>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</si>
  <si>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</si>
  <si>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</si>
  <si>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</si>
  <si>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</si>
  <si>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</si>
  <si>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</si>
  <si>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</si>
  <si>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</si>
  <si>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</si>
  <si>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</si>
  <si>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</si>
  <si>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</si>
  <si>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</si>
  <si>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</si>
  <si>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</si>
  <si>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</si>
  <si>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</si>
  <si>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</si>
  <si>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</si>
  <si>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</si>
  <si>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</si>
  <si>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</si>
  <si>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</si>
  <si>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</si>
  <si>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</si>
  <si>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</si>
  <si>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</si>
  <si>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</si>
  <si>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</si>
  <si>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</si>
  <si>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</si>
  <si>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</si>
  <si>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</si>
  <si>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</si>
  <si>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</si>
  <si>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</si>
  <si>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</si>
  <si>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</si>
  <si>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</si>
  <si>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</si>
  <si>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</si>
  <si>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</si>
  <si>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</si>
  <si>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</si>
  <si>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</si>
  <si>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</si>
  <si>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</si>
  <si>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</si>
  <si>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</si>
  <si>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</si>
  <si>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</si>
  <si>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</si>
  <si>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</si>
  <si>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</si>
  <si>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</si>
  <si>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</si>
  <si>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</si>
  <si>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</si>
  <si>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</si>
  <si>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</si>
  <si>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</si>
  <si>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</si>
  <si>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</si>
  <si>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</si>
  <si>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</si>
  <si>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</si>
  <si>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</si>
  <si>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</si>
  <si>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</si>
  <si>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</si>
  <si>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</si>
  <si>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</si>
  <si>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</si>
  <si>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</si>
  <si>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</si>
  <si>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</si>
  <si>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</si>
  <si>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</si>
  <si>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</si>
  <si>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</si>
  <si>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</si>
  <si>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</si>
  <si>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</si>
  <si>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</si>
  <si>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</si>
  <si>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</si>
  <si>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</si>
  <si>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</si>
  <si>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</si>
  <si>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</si>
  <si>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</si>
  <si>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</si>
  <si>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</si>
  <si>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</si>
  <si>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</si>
  <si>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</si>
  <si>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</si>
  <si>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</si>
  <si>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</si>
  <si>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</si>
  <si>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</si>
  <si>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</si>
  <si>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</si>
  <si>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</si>
  <si>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</si>
  <si>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</si>
  <si>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</si>
  <si>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</si>
  <si>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</si>
  <si>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</si>
  <si>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</si>
  <si>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</si>
  <si>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</si>
  <si>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</si>
  <si>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</si>
  <si>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</si>
  <si>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</si>
  <si>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</si>
  <si>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</si>
  <si>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</si>
  <si>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</si>
  <si>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</si>
  <si>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</si>
  <si>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</si>
  <si>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</si>
  <si>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</si>
  <si>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</si>
  <si>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</si>
  <si>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</si>
  <si>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</si>
  <si>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</si>
  <si>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</si>
  <si>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</si>
  <si>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</si>
  <si>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</si>
  <si>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</si>
  <si>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</si>
  <si>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</si>
  <si>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</si>
  <si>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</si>
  <si>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</si>
  <si>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</si>
  <si>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</si>
  <si>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</si>
  <si>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</si>
  <si>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</si>
  <si>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</si>
  <si>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</si>
  <si>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</si>
  <si>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</si>
  <si>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</si>
  <si>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</si>
  <si>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</si>
  <si>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</si>
  <si>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</si>
  <si>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</si>
  <si>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</si>
  <si>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</si>
  <si>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</si>
  <si>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</si>
  <si>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</si>
  <si>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</si>
  <si>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</si>
  <si>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</si>
  <si>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</si>
  <si>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</si>
  <si>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</si>
  <si>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</si>
  <si>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</si>
  <si>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</si>
  <si>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</si>
  <si>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</si>
  <si>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</si>
  <si>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</si>
  <si>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</si>
  <si>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</si>
  <si>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</si>
  <si>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</si>
  <si>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</si>
  <si>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</si>
  <si>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</si>
  <si>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</si>
  <si>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</si>
  <si>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</si>
  <si>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</si>
  <si>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</si>
  <si>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</si>
  <si>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</si>
  <si>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</si>
  <si>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</si>
  <si>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</si>
  <si>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</si>
  <si>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</si>
  <si>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</si>
  <si>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</si>
  <si>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</si>
  <si>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</si>
  <si>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</si>
  <si>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</si>
  <si>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</si>
  <si>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</si>
  <si>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</si>
  <si>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</si>
  <si>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</si>
  <si>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</si>
  <si>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</si>
  <si>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</si>
  <si>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</si>
  <si>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</si>
  <si>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</si>
  <si>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</si>
  <si>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</si>
  <si>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</si>
  <si>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</si>
  <si>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</si>
  <si>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</si>
  <si>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</si>
  <si>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</si>
  <si>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</si>
  <si>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</si>
  <si>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</si>
  <si>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</si>
  <si>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</si>
  <si>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</si>
  <si>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</si>
  <si>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</si>
  <si>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</si>
  <si>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</si>
  <si>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</si>
  <si>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</si>
  <si>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</si>
  <si>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</si>
  <si>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</si>
  <si>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</si>
  <si>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</si>
  <si>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</si>
  <si>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</si>
  <si>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</si>
  <si>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</si>
  <si>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</si>
  <si>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</si>
  <si>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</si>
  <si>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</si>
  <si>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</si>
  <si>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</si>
  <si>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</si>
  <si>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</si>
  <si>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</si>
  <si>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</si>
  <si>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</si>
  <si>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</si>
  <si>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</si>
  <si>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</si>
  <si>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</si>
  <si>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</si>
  <si>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</si>
  <si>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</si>
  <si>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</si>
  <si>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</si>
  <si>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</si>
  <si>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</si>
  <si>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</si>
  <si>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</si>
  <si>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</si>
  <si>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</si>
  <si>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</si>
  <si>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</si>
  <si>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</si>
  <si>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</si>
  <si>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</si>
  <si>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</si>
  <si>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</si>
  <si>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</si>
  <si>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</si>
  <si>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</si>
  <si>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</si>
  <si>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</si>
  <si>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</si>
  <si>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</si>
  <si>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</si>
  <si>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</si>
  <si>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</si>
  <si>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</si>
  <si>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</si>
  <si>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</si>
  <si>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</si>
  <si>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</si>
  <si>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</si>
  <si>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</si>
  <si>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</si>
  <si>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</si>
  <si>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</si>
  <si>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</si>
  <si>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</si>
  <si>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</si>
  <si>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</si>
  <si>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</si>
  <si>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</si>
  <si>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</si>
  <si>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</si>
  <si>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</si>
  <si>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</si>
  <si>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</si>
  <si>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</si>
  <si>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</si>
  <si>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</si>
  <si>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</si>
  <si>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</si>
  <si>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</si>
  <si>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</si>
  <si>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</si>
  <si>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</si>
  <si>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</si>
  <si>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</si>
  <si>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</si>
  <si>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</si>
  <si>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</si>
  <si>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</si>
  <si>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</si>
  <si>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</si>
  <si>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</si>
  <si>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</si>
  <si>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</si>
  <si>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</si>
  <si>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</si>
  <si>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</si>
  <si>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</si>
  <si>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</si>
  <si>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</si>
  <si>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</si>
  <si>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</si>
  <si>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</si>
  <si>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</si>
  <si>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</si>
  <si>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</si>
  <si>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</si>
  <si>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</si>
  <si>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</si>
  <si>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</si>
  <si>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</si>
  <si>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</si>
  <si>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</si>
  <si>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</si>
  <si>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</si>
  <si>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</si>
  <si>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</si>
  <si>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</si>
  <si>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66 4 08 84290</t>
  </si>
  <si>
    <t>866. 1102. 6640884290. 540. 251</t>
  </si>
  <si>
    <t>866. 0203. 6640251180. 121. 266</t>
  </si>
  <si>
    <t>182 1 06 01030 10 2000 110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</si>
  <si>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</si>
  <si>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</si>
  <si>
    <t>866. 0801. 6640680450.851. 291</t>
  </si>
  <si>
    <t>866. 1001. 6640782450. 312. 264</t>
  </si>
  <si>
    <t>Реализация мероприятий федеральной целевой программы "Увековечение памяти погибших при защите Отечества на 2019-2024 годы"</t>
  </si>
  <si>
    <t>866.0503.66410L2990.244. 226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</si>
  <si>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</si>
  <si>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</si>
  <si>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866 2 02 25299 10 0000 150</t>
  </si>
  <si>
    <t xml:space="preserve">Глава администрации____________________ Сеничкина А.П.
</t>
  </si>
  <si>
    <t>на 01.03.2023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</si>
</sst>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11" fillId="36" borderId="32" xfId="0" applyFont="1" applyFill="1" applyBorder="1" applyAlignment="1">
      <alignment wrapText="1"/>
    </xf>
    <xf numFmtId="49" fontId="19" fillId="36" borderId="32" xfId="0" applyNumberFormat="1" applyFont="1" applyFill="1" applyBorder="1" applyAlignment="1" applyProtection="1">
      <alignment horizontal="center" shrinkToFit="1"/>
      <protection locked="0"/>
    </xf>
    <xf numFmtId="49" fontId="19" fillId="36" borderId="32" xfId="0" applyNumberFormat="1" applyFont="1" applyFill="1" applyBorder="1" applyAlignment="1">
      <alignment horizontal="center" shrinkToFit="1"/>
    </xf>
    <xf numFmtId="4" fontId="18" fillId="36" borderId="32" xfId="0" applyNumberFormat="1" applyFont="1" applyFill="1" applyBorder="1" applyAlignment="1">
      <alignment horizontal="right" shrinkToFi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zoomScalePageLayoutView="0" workbookViewId="0" topLeftCell="A7">
      <pane xSplit="21750" topLeftCell="J1" activePane="topRight" state="split"/>
      <selection pane="topLeft" activeCell="H18" sqref="H18"/>
      <selection pane="topRight" activeCell="N71" sqref="N71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8" t="s">
        <v>10</v>
      </c>
      <c r="B2" s="328"/>
      <c r="C2" s="328"/>
      <c r="D2" s="328"/>
      <c r="E2" s="328"/>
      <c r="F2" s="328"/>
      <c r="G2" s="328"/>
      <c r="H2" s="5"/>
      <c r="I2" s="7" t="s">
        <v>0</v>
      </c>
    </row>
    <row r="3" spans="1:9" s="14" customFormat="1" ht="14.25">
      <c r="A3" s="339" t="s">
        <v>6</v>
      </c>
      <c r="B3" s="339"/>
      <c r="C3" s="339"/>
      <c r="D3" s="339"/>
      <c r="E3" s="339"/>
      <c r="F3" s="339"/>
      <c r="G3" s="339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555</v>
      </c>
      <c r="D4" s="73"/>
      <c r="E4" s="73"/>
      <c r="F4" s="73"/>
      <c r="G4" s="73"/>
      <c r="H4" s="8" t="s">
        <v>2</v>
      </c>
      <c r="I4" s="10" t="str">
        <f>C4</f>
        <v>на 01.03.2023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9" t="s">
        <v>438</v>
      </c>
      <c r="B6" s="330"/>
      <c r="C6" s="330"/>
      <c r="D6" s="330"/>
      <c r="E6" s="330"/>
      <c r="F6" s="330"/>
      <c r="G6" s="330"/>
      <c r="H6" s="40" t="s">
        <v>8</v>
      </c>
      <c r="I6" s="41"/>
    </row>
    <row r="7" spans="1:9" ht="15" customHeight="1">
      <c r="A7" s="338" t="s">
        <v>75</v>
      </c>
      <c r="B7" s="338"/>
      <c r="C7" s="338"/>
      <c r="D7" s="338"/>
      <c r="E7" s="338"/>
      <c r="F7" s="338"/>
      <c r="G7" s="338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1" t="s">
        <v>12</v>
      </c>
      <c r="B11" s="331"/>
      <c r="C11" s="331"/>
      <c r="D11" s="331"/>
      <c r="E11" s="331"/>
      <c r="F11" s="331"/>
      <c r="G11" s="331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2" t="s">
        <v>4</v>
      </c>
      <c r="B13" s="334" t="s">
        <v>5</v>
      </c>
      <c r="C13" s="334" t="s">
        <v>13</v>
      </c>
      <c r="D13" s="336" t="s">
        <v>14</v>
      </c>
      <c r="E13" s="342" t="s">
        <v>15</v>
      </c>
      <c r="F13" s="343"/>
      <c r="G13" s="343"/>
      <c r="H13" s="344"/>
      <c r="I13" s="326" t="s">
        <v>20</v>
      </c>
    </row>
    <row r="14" spans="1:9" s="14" customFormat="1" ht="77.25" customHeight="1">
      <c r="A14" s="333"/>
      <c r="B14" s="335"/>
      <c r="C14" s="335"/>
      <c r="D14" s="337"/>
      <c r="E14" s="46" t="s">
        <v>16</v>
      </c>
      <c r="F14" s="45" t="s">
        <v>17</v>
      </c>
      <c r="G14" s="45" t="s">
        <v>18</v>
      </c>
      <c r="H14" s="45" t="s">
        <v>19</v>
      </c>
      <c r="I14" s="327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D18+D89</f>
        <v>3586281.41</v>
      </c>
      <c r="E16" s="299">
        <f t="shared" si="0"/>
        <v>262037.9</v>
      </c>
      <c r="F16" s="299">
        <f t="shared" si="0"/>
        <v>0</v>
      </c>
      <c r="G16" s="299">
        <f t="shared" si="0"/>
        <v>0</v>
      </c>
      <c r="H16" s="299">
        <f>H18+H89</f>
        <v>262037.9</v>
      </c>
      <c r="I16" s="299">
        <f t="shared" si="0"/>
        <v>3324243.5100000002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615700</v>
      </c>
      <c r="E18" s="300">
        <f t="shared" si="1"/>
        <v>12699.1</v>
      </c>
      <c r="F18" s="300">
        <f t="shared" si="1"/>
        <v>0</v>
      </c>
      <c r="G18" s="300">
        <f t="shared" si="1"/>
        <v>0</v>
      </c>
      <c r="H18" s="300">
        <f>H48+H53+H57+H61+H64+H66+H68</f>
        <v>12699.1</v>
      </c>
      <c r="I18" s="300">
        <f t="shared" si="1"/>
        <v>603000.9</v>
      </c>
    </row>
    <row r="19" spans="1:9" s="69" customFormat="1" ht="42" customHeight="1">
      <c r="A19" s="249" t="s">
        <v>188</v>
      </c>
      <c r="B19" s="250" t="s">
        <v>44</v>
      </c>
      <c r="C19" s="182" t="s">
        <v>368</v>
      </c>
      <c r="D19" s="301">
        <v>31000</v>
      </c>
      <c r="E19" s="301">
        <f>H19</f>
        <v>761.6800000000001</v>
      </c>
      <c r="F19" s="301"/>
      <c r="G19" s="301"/>
      <c r="H19" s="301">
        <f>427.86+333.82</f>
        <v>761.6800000000001</v>
      </c>
      <c r="I19" s="301">
        <f>D19-H19</f>
        <v>30238.32</v>
      </c>
    </row>
    <row r="20" spans="1:9" s="69" customFormat="1" ht="60.75" customHeight="1" hidden="1">
      <c r="A20" s="249" t="s">
        <v>461</v>
      </c>
      <c r="B20" s="250" t="s">
        <v>44</v>
      </c>
      <c r="C20" s="184" t="s">
        <v>459</v>
      </c>
      <c r="D20" s="301">
        <v>0</v>
      </c>
      <c r="E20" s="301">
        <f>H20</f>
        <v>0</v>
      </c>
      <c r="F20" s="301"/>
      <c r="G20" s="301"/>
      <c r="H20" s="301">
        <v>0</v>
      </c>
      <c r="I20" s="301">
        <f>D20-H20</f>
        <v>0</v>
      </c>
    </row>
    <row r="21" spans="1:9" s="69" customFormat="1" ht="27.75" customHeight="1">
      <c r="A21" s="249" t="s">
        <v>281</v>
      </c>
      <c r="B21" s="250" t="s">
        <v>44</v>
      </c>
      <c r="C21" s="184" t="s">
        <v>460</v>
      </c>
      <c r="D21" s="301">
        <v>0</v>
      </c>
      <c r="E21" s="301">
        <f>H21</f>
        <v>-395.42</v>
      </c>
      <c r="F21" s="301"/>
      <c r="G21" s="301"/>
      <c r="H21" s="301">
        <f>-395.42</f>
        <v>-395.42</v>
      </c>
      <c r="I21" s="301">
        <f>D21-H21</f>
        <v>395.42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31000</v>
      </c>
      <c r="E22" s="302">
        <f t="shared" si="2"/>
        <v>366.26000000000005</v>
      </c>
      <c r="F22" s="302">
        <f t="shared" si="2"/>
        <v>0</v>
      </c>
      <c r="G22" s="302">
        <f t="shared" si="2"/>
        <v>0</v>
      </c>
      <c r="H22" s="302">
        <f t="shared" si="2"/>
        <v>366.26000000000005</v>
      </c>
      <c r="I22" s="302">
        <f t="shared" si="2"/>
        <v>30633.739999999998</v>
      </c>
    </row>
    <row r="23" spans="1:9" s="69" customFormat="1" ht="67.5" customHeight="1" hidden="1">
      <c r="A23" s="249" t="s">
        <v>197</v>
      </c>
      <c r="B23" s="250" t="s">
        <v>44</v>
      </c>
      <c r="C23" s="297" t="s">
        <v>201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198</v>
      </c>
      <c r="B24" s="250" t="s">
        <v>44</v>
      </c>
      <c r="C24" s="297" t="s">
        <v>202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199</v>
      </c>
      <c r="B25" s="250" t="s">
        <v>44</v>
      </c>
      <c r="C25" s="297" t="s">
        <v>203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200</v>
      </c>
      <c r="B26" s="250" t="s">
        <v>44</v>
      </c>
      <c r="C26" s="297" t="s">
        <v>204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188</v>
      </c>
      <c r="B28" s="250" t="s">
        <v>44</v>
      </c>
      <c r="C28" s="297" t="s">
        <v>196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189</v>
      </c>
      <c r="B29" s="250" t="s">
        <v>44</v>
      </c>
      <c r="C29" s="297" t="s">
        <v>187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221</v>
      </c>
      <c r="B34" s="250" t="s">
        <v>44</v>
      </c>
      <c r="C34" s="182" t="s">
        <v>383</v>
      </c>
      <c r="D34" s="301">
        <v>1000</v>
      </c>
      <c r="E34" s="301">
        <f>H34</f>
        <v>0</v>
      </c>
      <c r="F34" s="301"/>
      <c r="G34" s="301"/>
      <c r="H34" s="301">
        <v>0</v>
      </c>
      <c r="I34" s="301">
        <f>D34-H34</f>
        <v>1000</v>
      </c>
    </row>
    <row r="35" spans="1:9" s="21" customFormat="1" ht="23.25" customHeight="1" hidden="1">
      <c r="A35" s="249" t="s">
        <v>282</v>
      </c>
      <c r="B35" s="250" t="s">
        <v>44</v>
      </c>
      <c r="C35" s="184" t="s">
        <v>367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0</v>
      </c>
      <c r="F39" s="302">
        <f t="shared" si="3"/>
        <v>0</v>
      </c>
      <c r="G39" s="302">
        <f t="shared" si="3"/>
        <v>0</v>
      </c>
      <c r="H39" s="302">
        <f t="shared" si="3"/>
        <v>0</v>
      </c>
      <c r="I39" s="302">
        <f t="shared" si="3"/>
        <v>1000</v>
      </c>
    </row>
    <row r="40" spans="1:9" s="21" customFormat="1" ht="22.5" customHeight="1">
      <c r="A40" s="249" t="s">
        <v>465</v>
      </c>
      <c r="B40" s="250" t="s">
        <v>44</v>
      </c>
      <c r="C40" s="234" t="s">
        <v>369</v>
      </c>
      <c r="D40" s="301">
        <v>11000</v>
      </c>
      <c r="E40" s="301">
        <f>H40</f>
        <v>-846.32</v>
      </c>
      <c r="F40" s="301"/>
      <c r="G40" s="301"/>
      <c r="H40" s="301">
        <f>552.07-1398.39</f>
        <v>-846.32</v>
      </c>
      <c r="I40" s="301">
        <f>D40-H40</f>
        <v>11846.32</v>
      </c>
    </row>
    <row r="41" spans="1:9" s="21" customFormat="1" ht="22.5" customHeight="1" hidden="1">
      <c r="A41" s="253" t="s">
        <v>464</v>
      </c>
      <c r="B41" s="250" t="s">
        <v>44</v>
      </c>
      <c r="C41" s="184" t="s">
        <v>544</v>
      </c>
      <c r="D41" s="301">
        <v>0</v>
      </c>
      <c r="E41" s="301">
        <f>H41</f>
        <v>0</v>
      </c>
      <c r="F41" s="301"/>
      <c r="G41" s="301"/>
      <c r="H41" s="301">
        <v>0</v>
      </c>
      <c r="I41" s="301">
        <f>D41-H41</f>
        <v>0</v>
      </c>
    </row>
    <row r="42" spans="1:9" s="21" customFormat="1" ht="22.5" customHeight="1">
      <c r="A42" s="249" t="s">
        <v>466</v>
      </c>
      <c r="B42" s="250" t="s">
        <v>44</v>
      </c>
      <c r="C42" s="235" t="s">
        <v>359</v>
      </c>
      <c r="D42" s="301">
        <v>188000</v>
      </c>
      <c r="E42" s="301">
        <f>H42</f>
        <v>0</v>
      </c>
      <c r="F42" s="301"/>
      <c r="G42" s="301"/>
      <c r="H42" s="301">
        <v>0</v>
      </c>
      <c r="I42" s="301">
        <f>D42-H42</f>
        <v>188000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467</v>
      </c>
      <c r="B44" s="250" t="s">
        <v>44</v>
      </c>
      <c r="C44" s="235" t="s">
        <v>360</v>
      </c>
      <c r="D44" s="301">
        <v>249000</v>
      </c>
      <c r="E44" s="301">
        <f>H44</f>
        <v>-2226.1</v>
      </c>
      <c r="F44" s="301"/>
      <c r="G44" s="301"/>
      <c r="H44" s="301">
        <f>-1399.5-826.6</f>
        <v>-2226.1</v>
      </c>
      <c r="I44" s="301">
        <f>D44-H44</f>
        <v>251226.1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448000</v>
      </c>
      <c r="E47" s="302">
        <f t="shared" si="4"/>
        <v>-3072.42</v>
      </c>
      <c r="F47" s="302">
        <f t="shared" si="4"/>
        <v>0</v>
      </c>
      <c r="G47" s="302">
        <f t="shared" si="4"/>
        <v>0</v>
      </c>
      <c r="H47" s="302">
        <f t="shared" si="4"/>
        <v>-3072.42</v>
      </c>
      <c r="I47" s="302">
        <f t="shared" si="4"/>
        <v>451072.42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480000</v>
      </c>
      <c r="E48" s="302">
        <f t="shared" si="5"/>
        <v>-2706.16</v>
      </c>
      <c r="F48" s="302">
        <f t="shared" si="5"/>
        <v>0</v>
      </c>
      <c r="G48" s="302">
        <f t="shared" si="5"/>
        <v>0</v>
      </c>
      <c r="H48" s="302">
        <f>H47+H39+H22</f>
        <v>-2706.16</v>
      </c>
      <c r="I48" s="302">
        <f t="shared" si="5"/>
        <v>482706.16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361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>
      <c r="A51" s="249" t="s">
        <v>468</v>
      </c>
      <c r="B51" s="250" t="s">
        <v>44</v>
      </c>
      <c r="C51" s="297" t="s">
        <v>173</v>
      </c>
      <c r="D51" s="301"/>
      <c r="E51" s="301">
        <f>H51</f>
        <v>-43.14</v>
      </c>
      <c r="F51" s="301"/>
      <c r="G51" s="301"/>
      <c r="H51" s="301">
        <v>-43.14</v>
      </c>
      <c r="I51" s="301">
        <f>D51-H51</f>
        <v>43.14</v>
      </c>
    </row>
    <row r="52" spans="1:9" s="21" customFormat="1" ht="29.25" customHeight="1" hidden="1">
      <c r="A52" s="249" t="s">
        <v>469</v>
      </c>
      <c r="B52" s="250" t="s">
        <v>44</v>
      </c>
      <c r="C52" s="297" t="s">
        <v>174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-43.14</v>
      </c>
      <c r="F53" s="302">
        <f t="shared" si="6"/>
        <v>0</v>
      </c>
      <c r="G53" s="302">
        <f t="shared" si="6"/>
        <v>0</v>
      </c>
      <c r="H53" s="302">
        <f t="shared" si="6"/>
        <v>-43.14</v>
      </c>
      <c r="I53" s="302">
        <f t="shared" si="6"/>
        <v>43.14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181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183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470</v>
      </c>
      <c r="B56" s="250" t="s">
        <v>44</v>
      </c>
      <c r="C56" s="182" t="s">
        <v>362</v>
      </c>
      <c r="D56" s="301">
        <v>124500</v>
      </c>
      <c r="E56" s="301">
        <f>H56</f>
        <v>15448.4</v>
      </c>
      <c r="F56" s="301"/>
      <c r="G56" s="301"/>
      <c r="H56" s="301">
        <f>7724.2+7724.2</f>
        <v>15448.4</v>
      </c>
      <c r="I56" s="301">
        <f>D56-H56</f>
        <v>109051.6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124500</v>
      </c>
      <c r="E57" s="302">
        <f t="shared" si="7"/>
        <v>15448.4</v>
      </c>
      <c r="F57" s="302">
        <f t="shared" si="7"/>
        <v>0</v>
      </c>
      <c r="G57" s="302">
        <f t="shared" si="7"/>
        <v>0</v>
      </c>
      <c r="H57" s="302">
        <f t="shared" si="7"/>
        <v>15448.4</v>
      </c>
      <c r="I57" s="302">
        <f t="shared" si="7"/>
        <v>109051.6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225</v>
      </c>
      <c r="B60" s="250" t="s">
        <v>44</v>
      </c>
      <c r="C60" s="182" t="s">
        <v>363</v>
      </c>
      <c r="D60" s="301">
        <v>11200</v>
      </c>
      <c r="E60" s="301">
        <f>H60</f>
        <v>0</v>
      </c>
      <c r="F60" s="301"/>
      <c r="G60" s="301"/>
      <c r="H60" s="301">
        <v>0</v>
      </c>
      <c r="I60" s="301">
        <f>D60-H60</f>
        <v>11200</v>
      </c>
    </row>
    <row r="61" spans="1:9" s="21" customFormat="1" ht="15.75" customHeight="1">
      <c r="A61" s="251" t="s">
        <v>95</v>
      </c>
      <c r="B61" s="250"/>
      <c r="C61" s="86" t="s">
        <v>433</v>
      </c>
      <c r="D61" s="305">
        <f aca="true" t="shared" si="8" ref="D61:I61">D60</f>
        <v>11200</v>
      </c>
      <c r="E61" s="305">
        <f t="shared" si="8"/>
        <v>0</v>
      </c>
      <c r="F61" s="305">
        <f t="shared" si="8"/>
        <v>0</v>
      </c>
      <c r="G61" s="305">
        <f t="shared" si="8"/>
        <v>0</v>
      </c>
      <c r="H61" s="305">
        <f t="shared" si="8"/>
        <v>0</v>
      </c>
      <c r="I61" s="305">
        <f t="shared" si="8"/>
        <v>11200</v>
      </c>
    </row>
    <row r="62" spans="1:9" s="21" customFormat="1" ht="48" customHeight="1" hidden="1">
      <c r="A62" s="249" t="s">
        <v>545</v>
      </c>
      <c r="B62" s="253"/>
      <c r="C62" s="297" t="s">
        <v>546</v>
      </c>
      <c r="D62" s="301">
        <v>0</v>
      </c>
      <c r="E62" s="301">
        <f>H62</f>
        <v>0</v>
      </c>
      <c r="F62" s="301"/>
      <c r="G62" s="301"/>
      <c r="H62" s="301">
        <v>0</v>
      </c>
      <c r="I62" s="301">
        <f>D62-H62</f>
        <v>0</v>
      </c>
    </row>
    <row r="63" spans="1:9" s="21" customFormat="1" ht="35.25" customHeight="1" hidden="1">
      <c r="A63" s="249" t="s">
        <v>432</v>
      </c>
      <c r="B63" s="250" t="s">
        <v>44</v>
      </c>
      <c r="C63" s="184" t="s">
        <v>431</v>
      </c>
      <c r="D63" s="301">
        <v>0</v>
      </c>
      <c r="E63" s="301">
        <f>H63</f>
        <v>0</v>
      </c>
      <c r="F63" s="301"/>
      <c r="G63" s="301"/>
      <c r="H63" s="301">
        <v>0</v>
      </c>
      <c r="I63" s="301">
        <f>D63-H63</f>
        <v>0</v>
      </c>
    </row>
    <row r="64" spans="1:9" s="21" customFormat="1" ht="18" customHeight="1" hidden="1">
      <c r="A64" s="251" t="s">
        <v>95</v>
      </c>
      <c r="B64" s="251"/>
      <c r="C64" s="67">
        <v>866114</v>
      </c>
      <c r="D64" s="302">
        <f>D63+D62</f>
        <v>0</v>
      </c>
      <c r="E64" s="302">
        <f>E63+E62</f>
        <v>0</v>
      </c>
      <c r="F64" s="302">
        <f>F63+F62</f>
        <v>0</v>
      </c>
      <c r="G64" s="302">
        <f>G63+G62</f>
        <v>0</v>
      </c>
      <c r="H64" s="302">
        <f>H63+H62</f>
        <v>0</v>
      </c>
      <c r="I64" s="302">
        <f>I63</f>
        <v>0</v>
      </c>
    </row>
    <row r="65" spans="1:9" s="21" customFormat="1" ht="39.75" customHeight="1" hidden="1">
      <c r="A65" s="254" t="s">
        <v>462</v>
      </c>
      <c r="B65" s="251"/>
      <c r="C65" s="237" t="s">
        <v>463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9" ref="D66:I66">D65</f>
        <v>0</v>
      </c>
      <c r="E66" s="302">
        <f t="shared" si="9"/>
        <v>0</v>
      </c>
      <c r="F66" s="302">
        <f t="shared" si="9"/>
        <v>0</v>
      </c>
      <c r="G66" s="302">
        <f t="shared" si="9"/>
        <v>0</v>
      </c>
      <c r="H66" s="302">
        <f t="shared" si="9"/>
        <v>0</v>
      </c>
      <c r="I66" s="302">
        <f t="shared" si="9"/>
        <v>0</v>
      </c>
    </row>
    <row r="67" spans="1:9" s="21" customFormat="1" ht="21" customHeight="1" hidden="1">
      <c r="A67" s="249" t="s">
        <v>232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 hidden="1">
      <c r="A68" s="251" t="s">
        <v>95</v>
      </c>
      <c r="B68" s="251"/>
      <c r="C68" s="67">
        <v>866117</v>
      </c>
      <c r="D68" s="302">
        <f aca="true" t="shared" si="10" ref="D68:I68">D67</f>
        <v>0</v>
      </c>
      <c r="E68" s="302">
        <f t="shared" si="10"/>
        <v>0</v>
      </c>
      <c r="F68" s="302">
        <f t="shared" si="10"/>
        <v>0</v>
      </c>
      <c r="G68" s="302">
        <f t="shared" si="10"/>
        <v>0</v>
      </c>
      <c r="H68" s="302">
        <f t="shared" si="10"/>
        <v>0</v>
      </c>
      <c r="I68" s="302">
        <f t="shared" si="10"/>
        <v>0</v>
      </c>
    </row>
    <row r="69" spans="1:9" s="21" customFormat="1" ht="23.25" customHeight="1">
      <c r="A69" s="253" t="s">
        <v>471</v>
      </c>
      <c r="B69" s="250" t="s">
        <v>44</v>
      </c>
      <c r="C69" s="181" t="s">
        <v>394</v>
      </c>
      <c r="D69" s="301">
        <v>604983</v>
      </c>
      <c r="E69" s="301">
        <f>H69</f>
        <v>151245</v>
      </c>
      <c r="F69" s="301"/>
      <c r="G69" s="301"/>
      <c r="H69" s="301">
        <f>50415+100830</f>
        <v>151245</v>
      </c>
      <c r="I69" s="301">
        <f>D69-H69</f>
        <v>453738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1" ref="E70:E88">H70</f>
        <v>0</v>
      </c>
      <c r="F70" s="301"/>
      <c r="G70" s="301"/>
      <c r="H70" s="301"/>
      <c r="I70" s="301">
        <f aca="true" t="shared" si="12" ref="I70:I88">D70-H70</f>
        <v>0</v>
      </c>
    </row>
    <row r="71" spans="1:9" s="21" customFormat="1" ht="18" customHeight="1">
      <c r="A71" s="253" t="s">
        <v>472</v>
      </c>
      <c r="B71" s="250" t="s">
        <v>44</v>
      </c>
      <c r="C71" s="181" t="s">
        <v>444</v>
      </c>
      <c r="D71" s="308">
        <v>95458</v>
      </c>
      <c r="E71" s="301">
        <f t="shared" si="11"/>
        <v>23140</v>
      </c>
      <c r="F71" s="301"/>
      <c r="G71" s="301"/>
      <c r="H71" s="301">
        <f>7955+15185</f>
        <v>23140</v>
      </c>
      <c r="I71" s="301">
        <f t="shared" si="12"/>
        <v>72318</v>
      </c>
    </row>
    <row r="72" spans="1:9" s="21" customFormat="1" ht="32.25" customHeight="1" hidden="1">
      <c r="A72" s="249" t="s">
        <v>239</v>
      </c>
      <c r="B72" s="250" t="s">
        <v>44</v>
      </c>
      <c r="C72" s="297" t="s">
        <v>240</v>
      </c>
      <c r="D72" s="308"/>
      <c r="E72" s="301">
        <f t="shared" si="11"/>
        <v>0</v>
      </c>
      <c r="F72" s="301"/>
      <c r="G72" s="301"/>
      <c r="H72" s="301"/>
      <c r="I72" s="301">
        <f t="shared" si="12"/>
        <v>0</v>
      </c>
    </row>
    <row r="73" spans="1:9" s="21" customFormat="1" ht="39" customHeight="1" hidden="1">
      <c r="A73" s="249" t="s">
        <v>241</v>
      </c>
      <c r="B73" s="250" t="s">
        <v>44</v>
      </c>
      <c r="C73" s="297" t="s">
        <v>240</v>
      </c>
      <c r="D73" s="308"/>
      <c r="E73" s="301">
        <f t="shared" si="11"/>
        <v>0</v>
      </c>
      <c r="F73" s="301"/>
      <c r="G73" s="301"/>
      <c r="H73" s="301"/>
      <c r="I73" s="301">
        <f t="shared" si="12"/>
        <v>0</v>
      </c>
    </row>
    <row r="74" spans="1:9" s="21" customFormat="1" ht="21.75" customHeight="1" hidden="1">
      <c r="A74" s="249" t="s">
        <v>237</v>
      </c>
      <c r="B74" s="250" t="s">
        <v>44</v>
      </c>
      <c r="C74" s="297" t="s">
        <v>113</v>
      </c>
      <c r="D74" s="301"/>
      <c r="E74" s="301">
        <f t="shared" si="11"/>
        <v>0</v>
      </c>
      <c r="F74" s="301"/>
      <c r="G74" s="301"/>
      <c r="H74" s="301"/>
      <c r="I74" s="301">
        <f t="shared" si="12"/>
        <v>0</v>
      </c>
    </row>
    <row r="75" spans="1:9" s="21" customFormat="1" ht="61.5" customHeight="1" hidden="1">
      <c r="A75" s="345" t="s">
        <v>101</v>
      </c>
      <c r="B75" s="346"/>
      <c r="C75" s="297"/>
      <c r="D75" s="309"/>
      <c r="E75" s="301">
        <f t="shared" si="11"/>
        <v>0</v>
      </c>
      <c r="F75" s="301"/>
      <c r="G75" s="301"/>
      <c r="H75" s="301"/>
      <c r="I75" s="301">
        <f t="shared" si="12"/>
        <v>0</v>
      </c>
    </row>
    <row r="76" spans="1:9" s="21" customFormat="1" ht="27.75" customHeight="1" hidden="1">
      <c r="A76" s="249" t="s">
        <v>238</v>
      </c>
      <c r="B76" s="250" t="s">
        <v>44</v>
      </c>
      <c r="C76" s="297" t="s">
        <v>113</v>
      </c>
      <c r="D76" s="310"/>
      <c r="E76" s="301">
        <f t="shared" si="11"/>
        <v>0</v>
      </c>
      <c r="F76" s="301"/>
      <c r="G76" s="301"/>
      <c r="H76" s="301"/>
      <c r="I76" s="301">
        <f t="shared" si="12"/>
        <v>0</v>
      </c>
    </row>
    <row r="77" spans="1:9" s="21" customFormat="1" ht="59.25" customHeight="1" hidden="1">
      <c r="A77" s="345" t="s">
        <v>103</v>
      </c>
      <c r="B77" s="346"/>
      <c r="C77" s="297"/>
      <c r="D77" s="309"/>
      <c r="E77" s="301">
        <f t="shared" si="11"/>
        <v>0</v>
      </c>
      <c r="F77" s="301"/>
      <c r="G77" s="301"/>
      <c r="H77" s="301"/>
      <c r="I77" s="301">
        <f t="shared" si="12"/>
        <v>0</v>
      </c>
    </row>
    <row r="78" spans="1:9" s="21" customFormat="1" ht="61.5" customHeight="1" hidden="1">
      <c r="A78" s="345" t="s">
        <v>107</v>
      </c>
      <c r="B78" s="346"/>
      <c r="C78" s="297"/>
      <c r="D78" s="309"/>
      <c r="E78" s="301">
        <f t="shared" si="11"/>
        <v>0</v>
      </c>
      <c r="F78" s="301"/>
      <c r="G78" s="301"/>
      <c r="H78" s="301"/>
      <c r="I78" s="301">
        <f t="shared" si="12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1"/>
        <v>0</v>
      </c>
      <c r="F79" s="301"/>
      <c r="G79" s="301"/>
      <c r="H79" s="301"/>
      <c r="I79" s="301">
        <f t="shared" si="12"/>
        <v>0</v>
      </c>
    </row>
    <row r="80" spans="1:9" s="21" customFormat="1" ht="66" customHeight="1" hidden="1">
      <c r="A80" s="345" t="s">
        <v>115</v>
      </c>
      <c r="B80" s="346"/>
      <c r="C80" s="297"/>
      <c r="D80" s="309"/>
      <c r="E80" s="301">
        <f t="shared" si="11"/>
        <v>0</v>
      </c>
      <c r="F80" s="301"/>
      <c r="G80" s="301"/>
      <c r="H80" s="301"/>
      <c r="I80" s="301">
        <f t="shared" si="12"/>
        <v>0</v>
      </c>
    </row>
    <row r="81" spans="1:9" s="21" customFormat="1" ht="71.25" customHeight="1" hidden="1">
      <c r="A81" s="345" t="s">
        <v>137</v>
      </c>
      <c r="B81" s="346"/>
      <c r="C81" s="297"/>
      <c r="D81" s="309"/>
      <c r="E81" s="301">
        <f t="shared" si="11"/>
        <v>0</v>
      </c>
      <c r="F81" s="301"/>
      <c r="G81" s="301"/>
      <c r="H81" s="301"/>
      <c r="I81" s="301">
        <f t="shared" si="12"/>
        <v>0</v>
      </c>
    </row>
    <row r="82" spans="1:9" s="21" customFormat="1" ht="73.5" customHeight="1" hidden="1">
      <c r="A82" s="340" t="s">
        <v>148</v>
      </c>
      <c r="B82" s="341"/>
      <c r="C82" s="297"/>
      <c r="D82" s="309"/>
      <c r="E82" s="301">
        <f t="shared" si="11"/>
        <v>0</v>
      </c>
      <c r="F82" s="301"/>
      <c r="G82" s="301"/>
      <c r="H82" s="301"/>
      <c r="I82" s="301">
        <f t="shared" si="12"/>
        <v>0</v>
      </c>
    </row>
    <row r="83" spans="1:9" s="21" customFormat="1" ht="73.5" customHeight="1" hidden="1">
      <c r="A83" s="249" t="s">
        <v>191</v>
      </c>
      <c r="B83" s="250" t="s">
        <v>44</v>
      </c>
      <c r="C83" s="297" t="s">
        <v>113</v>
      </c>
      <c r="D83" s="301"/>
      <c r="E83" s="301">
        <f t="shared" si="11"/>
        <v>0</v>
      </c>
      <c r="F83" s="301"/>
      <c r="G83" s="301"/>
      <c r="H83" s="301"/>
      <c r="I83" s="301">
        <f t="shared" si="12"/>
        <v>0</v>
      </c>
    </row>
    <row r="84" spans="1:9" s="21" customFormat="1" ht="104.25" customHeight="1" hidden="1">
      <c r="A84" s="249" t="s">
        <v>220</v>
      </c>
      <c r="B84" s="250" t="s">
        <v>44</v>
      </c>
      <c r="C84" s="297" t="s">
        <v>219</v>
      </c>
      <c r="D84" s="301"/>
      <c r="E84" s="301">
        <f t="shared" si="11"/>
        <v>0</v>
      </c>
      <c r="F84" s="301"/>
      <c r="G84" s="301"/>
      <c r="H84" s="301"/>
      <c r="I84" s="301">
        <f t="shared" si="12"/>
        <v>0</v>
      </c>
    </row>
    <row r="85" spans="1:9" s="21" customFormat="1" ht="40.5" customHeight="1">
      <c r="A85" s="249" t="s">
        <v>551</v>
      </c>
      <c r="B85" s="250"/>
      <c r="C85" s="297" t="s">
        <v>553</v>
      </c>
      <c r="D85" s="301">
        <v>251828.45</v>
      </c>
      <c r="E85" s="301">
        <v>0</v>
      </c>
      <c r="F85" s="301"/>
      <c r="G85" s="301"/>
      <c r="H85" s="301">
        <v>0</v>
      </c>
      <c r="I85" s="301">
        <f t="shared" si="12"/>
        <v>251828.45</v>
      </c>
    </row>
    <row r="86" spans="1:9" s="21" customFormat="1" ht="26.25" customHeight="1">
      <c r="A86" s="249" t="s">
        <v>552</v>
      </c>
      <c r="B86" s="250" t="s">
        <v>44</v>
      </c>
      <c r="C86" s="181" t="s">
        <v>395</v>
      </c>
      <c r="D86" s="301">
        <v>114948.96</v>
      </c>
      <c r="E86" s="301">
        <f t="shared" si="11"/>
        <v>22989.8</v>
      </c>
      <c r="F86" s="301"/>
      <c r="G86" s="301"/>
      <c r="H86" s="301">
        <v>22989.8</v>
      </c>
      <c r="I86" s="301">
        <f t="shared" si="12"/>
        <v>91959.16</v>
      </c>
    </row>
    <row r="87" spans="1:9" s="21" customFormat="1" ht="24" hidden="1">
      <c r="A87" s="249" t="s">
        <v>226</v>
      </c>
      <c r="B87" s="250" t="s">
        <v>44</v>
      </c>
      <c r="C87" s="297" t="s">
        <v>399</v>
      </c>
      <c r="D87" s="301"/>
      <c r="E87" s="301">
        <f t="shared" si="11"/>
        <v>0</v>
      </c>
      <c r="F87" s="301"/>
      <c r="G87" s="301"/>
      <c r="H87" s="301"/>
      <c r="I87" s="301">
        <f t="shared" si="12"/>
        <v>0</v>
      </c>
    </row>
    <row r="88" spans="1:9" s="21" customFormat="1" ht="39" customHeight="1">
      <c r="A88" s="249" t="s">
        <v>229</v>
      </c>
      <c r="B88" s="250" t="s">
        <v>44</v>
      </c>
      <c r="C88" s="181" t="s">
        <v>396</v>
      </c>
      <c r="D88" s="301">
        <v>1903363</v>
      </c>
      <c r="E88" s="301">
        <f t="shared" si="11"/>
        <v>51964</v>
      </c>
      <c r="F88" s="301"/>
      <c r="G88" s="301"/>
      <c r="H88" s="301">
        <v>51964</v>
      </c>
      <c r="I88" s="301">
        <f t="shared" si="12"/>
        <v>1851399</v>
      </c>
    </row>
    <row r="89" spans="1:9" s="21" customFormat="1" ht="17.25" customHeight="1">
      <c r="A89" s="251" t="s">
        <v>95</v>
      </c>
      <c r="B89" s="251"/>
      <c r="C89" s="67">
        <v>866202</v>
      </c>
      <c r="D89" s="302">
        <f aca="true" t="shared" si="13" ref="D89:I89">D88+D86+D71+D69+D85</f>
        <v>2970581.41</v>
      </c>
      <c r="E89" s="302">
        <f t="shared" si="13"/>
        <v>249338.8</v>
      </c>
      <c r="F89" s="302">
        <f t="shared" si="13"/>
        <v>0</v>
      </c>
      <c r="G89" s="302">
        <f t="shared" si="13"/>
        <v>0</v>
      </c>
      <c r="H89" s="302">
        <f t="shared" si="13"/>
        <v>249338.8</v>
      </c>
      <c r="I89" s="302">
        <f t="shared" si="13"/>
        <v>2721242.6100000003</v>
      </c>
    </row>
    <row r="90" spans="1:9" s="21" customFormat="1" ht="48" hidden="1">
      <c r="A90" s="32" t="s">
        <v>48</v>
      </c>
      <c r="B90" s="33" t="s">
        <v>44</v>
      </c>
      <c r="C90" s="34" t="s">
        <v>114</v>
      </c>
      <c r="D90" s="48">
        <v>0</v>
      </c>
      <c r="E90" s="48">
        <v>0</v>
      </c>
      <c r="F90" s="48">
        <v>0</v>
      </c>
      <c r="G90" s="48">
        <v>0</v>
      </c>
      <c r="H90" s="48">
        <f>SUM(E90:G90)</f>
        <v>0</v>
      </c>
      <c r="I90" s="47">
        <f>D90-E90</f>
        <v>0</v>
      </c>
    </row>
    <row r="91" spans="1:9" s="21" customFormat="1" ht="15" customHeight="1" hidden="1">
      <c r="A91" s="66" t="s">
        <v>95</v>
      </c>
      <c r="B91" s="63"/>
      <c r="C91" s="67">
        <v>866208</v>
      </c>
      <c r="D91" s="65">
        <f aca="true" t="shared" si="14" ref="D91:I91">SUM(D90:D90)</f>
        <v>0</v>
      </c>
      <c r="E91" s="65">
        <f t="shared" si="14"/>
        <v>0</v>
      </c>
      <c r="F91" s="65">
        <f t="shared" si="14"/>
        <v>0</v>
      </c>
      <c r="G91" s="65">
        <f t="shared" si="14"/>
        <v>0</v>
      </c>
      <c r="H91" s="65">
        <f t="shared" si="14"/>
        <v>0</v>
      </c>
      <c r="I91" s="65">
        <f t="shared" si="14"/>
        <v>0</v>
      </c>
    </row>
    <row r="92" spans="3:9" s="20" customFormat="1" ht="9" customHeight="1">
      <c r="C92" s="29"/>
      <c r="D92" s="29"/>
      <c r="E92" s="29"/>
      <c r="F92" s="29"/>
      <c r="G92" s="29"/>
      <c r="H92" s="30"/>
      <c r="I92" s="29"/>
    </row>
    <row r="96" ht="12.75">
      <c r="H96" s="321"/>
    </row>
  </sheetData>
  <sheetProtection/>
  <mergeCells count="17">
    <mergeCell ref="A82:B82"/>
    <mergeCell ref="E13:H13"/>
    <mergeCell ref="A75:B75"/>
    <mergeCell ref="A77:B77"/>
    <mergeCell ref="A78:B78"/>
    <mergeCell ref="A80:B80"/>
    <mergeCell ref="A81:B81"/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2"/>
  <sheetViews>
    <sheetView showGridLines="0" zoomScale="85" zoomScaleNormal="85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53" sqref="F153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8" t="s">
        <v>22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s="14" customFormat="1" ht="15.75">
      <c r="A2" s="49"/>
      <c r="B2" s="49"/>
      <c r="C2" s="49"/>
      <c r="D2" s="347" t="str">
        <f>'1. Доходы бюджета (1.12)'!C4</f>
        <v>на 01.03.2023 года</v>
      </c>
      <c r="E2" s="347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9" t="s">
        <v>4</v>
      </c>
      <c r="B4" s="336" t="s">
        <v>5</v>
      </c>
      <c r="C4" s="336" t="s">
        <v>24</v>
      </c>
      <c r="D4" s="336" t="s">
        <v>27</v>
      </c>
      <c r="E4" s="336" t="s">
        <v>26</v>
      </c>
      <c r="F4" s="336" t="s">
        <v>15</v>
      </c>
      <c r="G4" s="336"/>
      <c r="H4" s="336"/>
      <c r="I4" s="336"/>
      <c r="J4" s="336" t="s">
        <v>20</v>
      </c>
      <c r="K4" s="336" t="s">
        <v>20</v>
      </c>
    </row>
    <row r="5" spans="1:11" s="14" customFormat="1" ht="45" customHeight="1">
      <c r="A5" s="350"/>
      <c r="B5" s="337"/>
      <c r="C5" s="337"/>
      <c r="D5" s="337"/>
      <c r="E5" s="337"/>
      <c r="F5" s="337" t="s">
        <v>16</v>
      </c>
      <c r="G5" s="337" t="s">
        <v>17</v>
      </c>
      <c r="H5" s="337" t="s">
        <v>18</v>
      </c>
      <c r="I5" s="337" t="s">
        <v>19</v>
      </c>
      <c r="J5" s="337" t="s">
        <v>25</v>
      </c>
      <c r="K5" s="337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193</v>
      </c>
      <c r="D7" s="94">
        <f aca="true" t="shared" si="0" ref="D7:I7">D68+D81+D101+D122+D147+D158+D171+D179</f>
        <v>3586281.41</v>
      </c>
      <c r="E7" s="94">
        <f t="shared" si="0"/>
        <v>3586281.41</v>
      </c>
      <c r="F7" s="312">
        <f>F68+F81+F101+F122+F147+F158+F171+F179</f>
        <v>282572.39999999997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3303709.0100000002</v>
      </c>
      <c r="K7" s="94">
        <f>E7-F7</f>
        <v>3303709.0100000002</v>
      </c>
      <c r="L7" s="81">
        <f>D7-F7</f>
        <v>3303709.0100000002</v>
      </c>
      <c r="M7" s="91">
        <f>K7-L7</f>
        <v>0</v>
      </c>
    </row>
    <row r="8" spans="1:11" s="21" customFormat="1" ht="36.75" customHeight="1">
      <c r="A8" s="270" t="s">
        <v>434</v>
      </c>
      <c r="B8" s="77"/>
      <c r="C8" s="80" t="s">
        <v>481</v>
      </c>
      <c r="D8" s="65">
        <f>D9+D10+D11</f>
        <v>299100</v>
      </c>
      <c r="E8" s="65">
        <f>E9+E10+E11</f>
        <v>299100</v>
      </c>
      <c r="F8" s="313">
        <f>F9+F10+F11</f>
        <v>57180.79</v>
      </c>
      <c r="G8" s="65">
        <f>G9+G11</f>
        <v>0</v>
      </c>
      <c r="H8" s="65">
        <f>H9+H11</f>
        <v>0</v>
      </c>
      <c r="I8" s="65">
        <f>I9+I10+I11</f>
        <v>57180.79</v>
      </c>
      <c r="J8" s="65">
        <f>J9+J11</f>
        <v>238417.21</v>
      </c>
      <c r="K8" s="65">
        <f>K9+K11</f>
        <v>238417.21</v>
      </c>
    </row>
    <row r="9" spans="1:11" s="21" customFormat="1" ht="20.25" customHeight="1">
      <c r="A9" s="60" t="s">
        <v>473</v>
      </c>
      <c r="B9" s="77"/>
      <c r="C9" s="273" t="s">
        <v>478</v>
      </c>
      <c r="D9" s="92">
        <f>200000-3502</f>
        <v>196498</v>
      </c>
      <c r="E9" s="92">
        <f>D9</f>
        <v>196498</v>
      </c>
      <c r="F9" s="314">
        <f>13560+16169.75+12000+1560+4135</f>
        <v>47424.75</v>
      </c>
      <c r="G9" s="92"/>
      <c r="H9" s="92"/>
      <c r="I9" s="65">
        <f>F9</f>
        <v>47424.75</v>
      </c>
      <c r="J9" s="92">
        <f>D9-F9</f>
        <v>149073.25</v>
      </c>
      <c r="K9" s="92">
        <f>E9-F9</f>
        <v>149073.25</v>
      </c>
    </row>
    <row r="10" spans="1:15" s="21" customFormat="1" ht="30.75" customHeight="1">
      <c r="A10" s="201" t="s">
        <v>412</v>
      </c>
      <c r="B10" s="77"/>
      <c r="C10" s="273" t="s">
        <v>479</v>
      </c>
      <c r="D10" s="92">
        <f>3502</f>
        <v>3502</v>
      </c>
      <c r="E10" s="92">
        <f>D10</f>
        <v>3502</v>
      </c>
      <c r="F10" s="315">
        <v>0</v>
      </c>
      <c r="G10" s="92"/>
      <c r="H10" s="92"/>
      <c r="I10" s="65">
        <f>F10</f>
        <v>0</v>
      </c>
      <c r="J10" s="92">
        <f>D10-F10</f>
        <v>3502</v>
      </c>
      <c r="K10" s="92">
        <f>E10-F10</f>
        <v>3502</v>
      </c>
      <c r="O10" s="247"/>
    </row>
    <row r="11" spans="1:15" s="21" customFormat="1" ht="19.5" customHeight="1">
      <c r="A11" s="60" t="s">
        <v>52</v>
      </c>
      <c r="B11" s="77"/>
      <c r="C11" s="273" t="s">
        <v>480</v>
      </c>
      <c r="D11" s="92">
        <v>99100</v>
      </c>
      <c r="E11" s="92">
        <f>D11</f>
        <v>99100</v>
      </c>
      <c r="F11" s="314">
        <f>9691.43+64.61</f>
        <v>9756.04</v>
      </c>
      <c r="G11" s="92"/>
      <c r="H11" s="92"/>
      <c r="I11" s="65">
        <f>F11</f>
        <v>9756.04</v>
      </c>
      <c r="J11" s="92">
        <f>D11-F11</f>
        <v>89343.95999999999</v>
      </c>
      <c r="K11" s="92">
        <f>E11-F11</f>
        <v>89343.95999999999</v>
      </c>
      <c r="O11" s="247"/>
    </row>
    <row r="12" spans="1:11" s="59" customFormat="1" ht="35.25" customHeight="1">
      <c r="A12" s="272" t="s">
        <v>209</v>
      </c>
      <c r="B12" s="256"/>
      <c r="C12" s="257" t="s">
        <v>482</v>
      </c>
      <c r="D12" s="258">
        <f>D13+D14+D16+D28+D21</f>
        <v>772900</v>
      </c>
      <c r="E12" s="258">
        <f>E13+E14+E16+E28+E21</f>
        <v>772900</v>
      </c>
      <c r="F12" s="316">
        <f>F13+F14+F16+F28+F21</f>
        <v>121495.27</v>
      </c>
      <c r="G12" s="258">
        <f>G13+G14+G16+G28</f>
        <v>0</v>
      </c>
      <c r="H12" s="258">
        <f>H13+H14+H16+H28</f>
        <v>0</v>
      </c>
      <c r="I12" s="258">
        <f>I13+I14+I16+I28</f>
        <v>102092.83</v>
      </c>
      <c r="J12" s="258">
        <f>J13+J14+J16+J28</f>
        <v>592672.17</v>
      </c>
      <c r="K12" s="258">
        <f>K13+K14+K16+K28</f>
        <v>592672.17</v>
      </c>
    </row>
    <row r="13" spans="1:11" s="21" customFormat="1" ht="16.5" customHeight="1">
      <c r="A13" s="60" t="s">
        <v>51</v>
      </c>
      <c r="B13" s="61" t="s">
        <v>50</v>
      </c>
      <c r="C13" s="273" t="s">
        <v>483</v>
      </c>
      <c r="D13" s="92">
        <v>332000</v>
      </c>
      <c r="E13" s="92">
        <f>D13</f>
        <v>332000</v>
      </c>
      <c r="F13" s="314">
        <f>11300+2032.89+2032.89+5065.36+9570.7+3000+4328+5000+1603+3871</f>
        <v>47803.84</v>
      </c>
      <c r="G13" s="62">
        <v>0</v>
      </c>
      <c r="H13" s="62">
        <v>0</v>
      </c>
      <c r="I13" s="62">
        <f aca="true" t="shared" si="1" ref="I13:I27">SUM(F13:H13)</f>
        <v>47803.84</v>
      </c>
      <c r="J13" s="62">
        <f>D13-F13</f>
        <v>284196.16000000003</v>
      </c>
      <c r="K13" s="62">
        <f>E13-F13</f>
        <v>284196.16000000003</v>
      </c>
    </row>
    <row r="14" spans="1:16" s="21" customFormat="1" ht="35.25" customHeight="1">
      <c r="A14" s="201" t="s">
        <v>412</v>
      </c>
      <c r="B14" s="61" t="s">
        <v>50</v>
      </c>
      <c r="C14" s="273" t="s">
        <v>484</v>
      </c>
      <c r="D14" s="92">
        <v>0</v>
      </c>
      <c r="E14" s="92">
        <f aca="true" t="shared" si="2" ref="E14:E26">D14</f>
        <v>0</v>
      </c>
      <c r="F14" s="314">
        <v>0</v>
      </c>
      <c r="G14" s="62">
        <v>0</v>
      </c>
      <c r="H14" s="62">
        <v>0</v>
      </c>
      <c r="I14" s="62">
        <f t="shared" si="1"/>
        <v>0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430</v>
      </c>
      <c r="D15" s="92">
        <f aca="true" t="shared" si="3" ref="D15:K15">D13+D14</f>
        <v>332000</v>
      </c>
      <c r="E15" s="92">
        <f t="shared" si="3"/>
        <v>332000</v>
      </c>
      <c r="F15" s="314">
        <f t="shared" si="3"/>
        <v>47803.84</v>
      </c>
      <c r="G15" s="62">
        <f t="shared" si="3"/>
        <v>0</v>
      </c>
      <c r="H15" s="62">
        <f t="shared" si="3"/>
        <v>0</v>
      </c>
      <c r="I15" s="62">
        <f t="shared" si="3"/>
        <v>47803.84</v>
      </c>
      <c r="J15" s="62">
        <f t="shared" si="3"/>
        <v>284196.16000000003</v>
      </c>
      <c r="K15" s="62">
        <f t="shared" si="3"/>
        <v>284196.16000000003</v>
      </c>
    </row>
    <row r="16" spans="1:11" s="21" customFormat="1" ht="22.5" customHeight="1">
      <c r="A16" s="60" t="s">
        <v>52</v>
      </c>
      <c r="B16" s="61" t="s">
        <v>50</v>
      </c>
      <c r="C16" s="273" t="s">
        <v>485</v>
      </c>
      <c r="D16" s="92">
        <v>115000</v>
      </c>
      <c r="E16" s="92">
        <f>D16</f>
        <v>115000</v>
      </c>
      <c r="F16" s="314">
        <f>9771.86+65.15</f>
        <v>9837.01</v>
      </c>
      <c r="G16" s="62">
        <v>0</v>
      </c>
      <c r="H16" s="62">
        <v>0</v>
      </c>
      <c r="I16" s="62">
        <f t="shared" si="1"/>
        <v>9837.01</v>
      </c>
      <c r="J16" s="62">
        <f aca="true" t="shared" si="4" ref="J16:J27">D16-F16</f>
        <v>105162.99</v>
      </c>
      <c r="K16" s="62">
        <f aca="true" t="shared" si="5" ref="K16:K27">E16-F16</f>
        <v>105162.99</v>
      </c>
    </row>
    <row r="17" spans="1:11" s="21" customFormat="1" ht="16.5" customHeight="1">
      <c r="A17" s="271"/>
      <c r="B17" s="231"/>
      <c r="C17" s="263" t="s">
        <v>440</v>
      </c>
      <c r="D17" s="211">
        <f>D15+D16</f>
        <v>447000</v>
      </c>
      <c r="E17" s="211">
        <f>E15+E16</f>
        <v>447000</v>
      </c>
      <c r="F17" s="313">
        <f>F15+F16</f>
        <v>57640.85</v>
      </c>
      <c r="G17" s="211">
        <f>H15+H16</f>
        <v>0</v>
      </c>
      <c r="H17" s="211">
        <v>0</v>
      </c>
      <c r="I17" s="211">
        <f>I15+I16</f>
        <v>57640.85</v>
      </c>
      <c r="J17" s="211">
        <f>J15+J16</f>
        <v>389359.15</v>
      </c>
      <c r="K17" s="211">
        <f>K15+K16</f>
        <v>389359.15</v>
      </c>
    </row>
    <row r="18" spans="1:11" s="21" customFormat="1" ht="15" customHeight="1">
      <c r="A18" s="60" t="s">
        <v>458</v>
      </c>
      <c r="B18" s="61" t="s">
        <v>50</v>
      </c>
      <c r="C18" s="273" t="s">
        <v>486</v>
      </c>
      <c r="D18" s="92">
        <v>30000</v>
      </c>
      <c r="E18" s="92">
        <f t="shared" si="2"/>
        <v>30000</v>
      </c>
      <c r="F18" s="314">
        <f>2218.08+1650+804.33</f>
        <v>4672.41</v>
      </c>
      <c r="G18" s="62">
        <v>0</v>
      </c>
      <c r="H18" s="62">
        <v>0</v>
      </c>
      <c r="I18" s="62">
        <f t="shared" si="1"/>
        <v>4672.41</v>
      </c>
      <c r="J18" s="62">
        <f t="shared" si="4"/>
        <v>25327.59</v>
      </c>
      <c r="K18" s="62">
        <f>E18-F18</f>
        <v>25327.59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227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487</v>
      </c>
      <c r="D20" s="92">
        <v>2000</v>
      </c>
      <c r="E20" s="92">
        <f t="shared" si="2"/>
        <v>2000</v>
      </c>
      <c r="F20" s="314">
        <f>159.78+172.59</f>
        <v>332.37</v>
      </c>
      <c r="G20" s="62">
        <v>0</v>
      </c>
      <c r="H20" s="62">
        <v>0</v>
      </c>
      <c r="I20" s="62">
        <f t="shared" si="1"/>
        <v>332.37</v>
      </c>
      <c r="J20" s="62">
        <f t="shared" si="4"/>
        <v>1667.63</v>
      </c>
      <c r="K20" s="62">
        <f t="shared" si="5"/>
        <v>1667.63</v>
      </c>
    </row>
    <row r="21" spans="1:14" s="21" customFormat="1" ht="17.25" customHeight="1">
      <c r="A21" s="241" t="s">
        <v>54</v>
      </c>
      <c r="B21" s="242"/>
      <c r="C21" s="274" t="s">
        <v>488</v>
      </c>
      <c r="D21" s="279">
        <v>78135</v>
      </c>
      <c r="E21" s="279">
        <f>D21</f>
        <v>78135</v>
      </c>
      <c r="F21" s="243">
        <f>11876.67+7525.77</f>
        <v>19402.440000000002</v>
      </c>
      <c r="G21" s="243"/>
      <c r="H21" s="243"/>
      <c r="I21" s="243"/>
      <c r="J21" s="243"/>
      <c r="K21" s="243">
        <f>D21-F21</f>
        <v>58732.56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489</v>
      </c>
      <c r="D22" s="92">
        <v>50000</v>
      </c>
      <c r="E22" s="92">
        <f t="shared" si="2"/>
        <v>50000</v>
      </c>
      <c r="F22" s="314">
        <f>2610+390+913+900+6+1817.4</f>
        <v>6636.4</v>
      </c>
      <c r="G22" s="62">
        <v>0</v>
      </c>
      <c r="H22" s="62">
        <v>0</v>
      </c>
      <c r="I22" s="62">
        <f t="shared" si="1"/>
        <v>6636.4</v>
      </c>
      <c r="J22" s="62">
        <f t="shared" si="4"/>
        <v>43363.6</v>
      </c>
      <c r="K22" s="62">
        <f t="shared" si="5"/>
        <v>43363.6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490</v>
      </c>
      <c r="D23" s="92">
        <f>100000-21135</f>
        <v>78865</v>
      </c>
      <c r="E23" s="92">
        <f t="shared" si="2"/>
        <v>78865</v>
      </c>
      <c r="F23" s="314">
        <f>16878+2522+5820+38.8</f>
        <v>25258.8</v>
      </c>
      <c r="G23" s="62">
        <v>0</v>
      </c>
      <c r="H23" s="62">
        <v>0</v>
      </c>
      <c r="I23" s="62">
        <f t="shared" si="1"/>
        <v>25258.8</v>
      </c>
      <c r="J23" s="62">
        <f t="shared" si="4"/>
        <v>53606.2</v>
      </c>
      <c r="K23" s="62">
        <f t="shared" si="5"/>
        <v>53606.2</v>
      </c>
    </row>
    <row r="24" spans="1:11" s="21" customFormat="1" ht="16.5" customHeight="1" hidden="1">
      <c r="A24" s="60" t="s">
        <v>441</v>
      </c>
      <c r="B24" s="61" t="s">
        <v>50</v>
      </c>
      <c r="C24" s="273" t="s">
        <v>491</v>
      </c>
      <c r="D24" s="92">
        <v>0</v>
      </c>
      <c r="E24" s="92">
        <f t="shared" si="2"/>
        <v>0</v>
      </c>
      <c r="F24" s="314">
        <v>0</v>
      </c>
      <c r="G24" s="62">
        <v>0</v>
      </c>
      <c r="H24" s="62">
        <v>0</v>
      </c>
      <c r="I24" s="62">
        <f t="shared" si="1"/>
        <v>0</v>
      </c>
      <c r="J24" s="62">
        <f t="shared" si="4"/>
        <v>0</v>
      </c>
      <c r="K24" s="62">
        <f t="shared" si="5"/>
        <v>0</v>
      </c>
    </row>
    <row r="25" spans="1:11" s="21" customFormat="1" ht="25.5" customHeight="1" hidden="1">
      <c r="A25" s="60" t="s">
        <v>150</v>
      </c>
      <c r="B25" s="61" t="s">
        <v>50</v>
      </c>
      <c r="C25" s="273" t="s">
        <v>492</v>
      </c>
      <c r="D25" s="92"/>
      <c r="E25" s="92">
        <f t="shared" si="2"/>
        <v>0</v>
      </c>
      <c r="F25" s="314">
        <v>0</v>
      </c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397</v>
      </c>
      <c r="B26" s="61" t="s">
        <v>50</v>
      </c>
      <c r="C26" s="273" t="s">
        <v>493</v>
      </c>
      <c r="D26" s="92">
        <v>86900</v>
      </c>
      <c r="E26" s="92">
        <f t="shared" si="2"/>
        <v>86900</v>
      </c>
      <c r="F26" s="314">
        <f>7552</f>
        <v>7552</v>
      </c>
      <c r="G26" s="62">
        <v>0</v>
      </c>
      <c r="H26" s="62">
        <v>0</v>
      </c>
      <c r="I26" s="62">
        <f t="shared" si="1"/>
        <v>7552</v>
      </c>
      <c r="J26" s="62">
        <f t="shared" si="4"/>
        <v>79348</v>
      </c>
      <c r="K26" s="62">
        <f t="shared" si="5"/>
        <v>79348</v>
      </c>
    </row>
    <row r="27" spans="1:14" s="21" customFormat="1" ht="30" customHeight="1" hidden="1">
      <c r="A27" s="60" t="s">
        <v>398</v>
      </c>
      <c r="B27" s="61" t="s">
        <v>50</v>
      </c>
      <c r="C27" s="273" t="s">
        <v>494</v>
      </c>
      <c r="D27" s="92">
        <v>0</v>
      </c>
      <c r="E27" s="92">
        <f>D27</f>
        <v>0</v>
      </c>
      <c r="F27" s="314">
        <v>0</v>
      </c>
      <c r="G27" s="62">
        <v>0</v>
      </c>
      <c r="H27" s="62">
        <v>0</v>
      </c>
      <c r="I27" s="62">
        <f t="shared" si="1"/>
        <v>0</v>
      </c>
      <c r="J27" s="62">
        <f t="shared" si="4"/>
        <v>0</v>
      </c>
      <c r="K27" s="62">
        <f t="shared" si="5"/>
        <v>0</v>
      </c>
      <c r="N27" s="247"/>
    </row>
    <row r="28" spans="1:15" s="59" customFormat="1" ht="24.75" customHeight="1">
      <c r="A28" s="264" t="s">
        <v>280</v>
      </c>
      <c r="B28" s="70"/>
      <c r="C28" s="86" t="s">
        <v>495</v>
      </c>
      <c r="D28" s="102">
        <f>D18+D22+D23+D26+D27+D20+D24+D25</f>
        <v>247765</v>
      </c>
      <c r="E28" s="102">
        <f>E18+E22+E23+E26+E27+E20+E24+E25</f>
        <v>247765</v>
      </c>
      <c r="F28" s="317">
        <f>F18+F22+F23+F26+F27+F20+F25+F24</f>
        <v>44451.98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44451.98</v>
      </c>
      <c r="J28" s="102">
        <f>J18+J22+J23+J26+J27+J21+J20</f>
        <v>203313.02000000002</v>
      </c>
      <c r="K28" s="102">
        <f>D28-F28</f>
        <v>203313.02</v>
      </c>
      <c r="O28" s="246"/>
    </row>
    <row r="29" spans="1:11" s="59" customFormat="1" ht="21.75" customHeight="1">
      <c r="A29" s="272" t="s">
        <v>217</v>
      </c>
      <c r="B29" s="256"/>
      <c r="C29" s="257" t="s">
        <v>496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0</v>
      </c>
      <c r="G29" s="258">
        <f t="shared" si="6"/>
        <v>0</v>
      </c>
      <c r="H29" s="258">
        <f t="shared" si="6"/>
        <v>0</v>
      </c>
      <c r="I29" s="258">
        <f t="shared" si="6"/>
        <v>0</v>
      </c>
      <c r="J29" s="258">
        <f t="shared" si="6"/>
        <v>20840</v>
      </c>
      <c r="K29" s="258">
        <f t="shared" si="6"/>
        <v>20840</v>
      </c>
    </row>
    <row r="30" spans="1:11" s="21" customFormat="1" ht="17.25" customHeight="1">
      <c r="A30" s="82" t="s">
        <v>375</v>
      </c>
      <c r="B30" s="61" t="s">
        <v>50</v>
      </c>
      <c r="C30" s="273" t="s">
        <v>497</v>
      </c>
      <c r="D30" s="92">
        <v>20000</v>
      </c>
      <c r="E30" s="92">
        <f>D30</f>
        <v>20000</v>
      </c>
      <c r="F30" s="314">
        <v>0</v>
      </c>
      <c r="G30" s="62">
        <v>0</v>
      </c>
      <c r="H30" s="62">
        <v>0</v>
      </c>
      <c r="I30" s="62">
        <f aca="true" t="shared" si="7" ref="I30:I38">SUM(F30:H30)</f>
        <v>0</v>
      </c>
      <c r="J30" s="62">
        <f>D30-F30</f>
        <v>20000</v>
      </c>
      <c r="K30" s="62">
        <f>E30-F30</f>
        <v>20000</v>
      </c>
    </row>
    <row r="31" spans="1:11" s="21" customFormat="1" ht="22.5" customHeight="1">
      <c r="A31" s="82" t="s">
        <v>108</v>
      </c>
      <c r="B31" s="61" t="s">
        <v>50</v>
      </c>
      <c r="C31" s="273" t="s">
        <v>498</v>
      </c>
      <c r="D31" s="92">
        <v>840</v>
      </c>
      <c r="E31" s="92">
        <f>D31</f>
        <v>840</v>
      </c>
      <c r="F31" s="314">
        <v>0</v>
      </c>
      <c r="G31" s="62">
        <v>0</v>
      </c>
      <c r="H31" s="62">
        <v>0</v>
      </c>
      <c r="I31" s="62">
        <f t="shared" si="7"/>
        <v>0</v>
      </c>
      <c r="J31" s="62">
        <f>D31-F31</f>
        <v>840</v>
      </c>
      <c r="K31" s="62">
        <f>E31-F31</f>
        <v>840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389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280</v>
      </c>
      <c r="B33" s="231"/>
      <c r="C33" s="263" t="s">
        <v>439</v>
      </c>
      <c r="D33" s="211">
        <f>D15+D16+D28+D29</f>
        <v>715605</v>
      </c>
      <c r="E33" s="211">
        <f>E15+E16+E28+E29</f>
        <v>715605</v>
      </c>
      <c r="F33" s="313">
        <f aca="true" t="shared" si="8" ref="F33:K33">F15+F16+F28+F29</f>
        <v>102092.83</v>
      </c>
      <c r="G33" s="211">
        <f t="shared" si="8"/>
        <v>0</v>
      </c>
      <c r="H33" s="211">
        <f t="shared" si="8"/>
        <v>0</v>
      </c>
      <c r="I33" s="211">
        <f t="shared" si="8"/>
        <v>102092.83</v>
      </c>
      <c r="J33" s="211">
        <f t="shared" si="8"/>
        <v>613512.17</v>
      </c>
      <c r="K33" s="211">
        <f t="shared" si="8"/>
        <v>613512.17</v>
      </c>
    </row>
    <row r="34" spans="1:11" s="21" customFormat="1" ht="29.25" customHeight="1" hidden="1">
      <c r="A34" s="266" t="s">
        <v>384</v>
      </c>
      <c r="B34" s="231"/>
      <c r="C34" s="257" t="s">
        <v>499</v>
      </c>
      <c r="D34" s="211">
        <f>D35+D36</f>
        <v>0</v>
      </c>
      <c r="E34" s="211">
        <f>D34</f>
        <v>0</v>
      </c>
      <c r="F34" s="313">
        <f>F35+F36</f>
        <v>0</v>
      </c>
      <c r="G34" s="211">
        <f>G35</f>
        <v>0</v>
      </c>
      <c r="H34" s="211">
        <f>H35</f>
        <v>0</v>
      </c>
      <c r="I34" s="211">
        <f t="shared" si="7"/>
        <v>0</v>
      </c>
      <c r="J34" s="211">
        <f>J35</f>
        <v>0</v>
      </c>
      <c r="K34" s="211">
        <f>K35</f>
        <v>0</v>
      </c>
    </row>
    <row r="35" spans="1:11" s="21" customFormat="1" ht="22.5" customHeight="1" hidden="1">
      <c r="A35" s="60" t="s">
        <v>56</v>
      </c>
      <c r="B35" s="61" t="s">
        <v>50</v>
      </c>
      <c r="C35" s="273" t="s">
        <v>500</v>
      </c>
      <c r="D35" s="92">
        <v>0</v>
      </c>
      <c r="E35" s="92">
        <f>D35</f>
        <v>0</v>
      </c>
      <c r="F35" s="314">
        <v>0</v>
      </c>
      <c r="G35" s="62"/>
      <c r="H35" s="62"/>
      <c r="I35" s="62">
        <f t="shared" si="7"/>
        <v>0</v>
      </c>
      <c r="J35" s="62">
        <f>D35-F35</f>
        <v>0</v>
      </c>
      <c r="K35" s="62">
        <f>E35-F35</f>
        <v>0</v>
      </c>
    </row>
    <row r="36" spans="1:11" s="21" customFormat="1" ht="22.5" customHeight="1" hidden="1">
      <c r="A36" s="60" t="s">
        <v>56</v>
      </c>
      <c r="B36" s="61" t="s">
        <v>50</v>
      </c>
      <c r="C36" s="273" t="s">
        <v>501</v>
      </c>
      <c r="D36" s="92">
        <v>0</v>
      </c>
      <c r="E36" s="92">
        <f>D36</f>
        <v>0</v>
      </c>
      <c r="F36" s="314">
        <v>0</v>
      </c>
      <c r="G36" s="62"/>
      <c r="H36" s="62"/>
      <c r="I36" s="62">
        <f t="shared" si="7"/>
        <v>0</v>
      </c>
      <c r="J36" s="62"/>
      <c r="K36" s="62">
        <f>E36-F36</f>
        <v>0</v>
      </c>
    </row>
    <row r="37" spans="1:11" s="21" customFormat="1" ht="18" customHeight="1">
      <c r="A37" s="266" t="s">
        <v>373</v>
      </c>
      <c r="B37" s="231"/>
      <c r="C37" s="257" t="s">
        <v>502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374</v>
      </c>
      <c r="B38" s="61" t="s">
        <v>50</v>
      </c>
      <c r="C38" s="273" t="s">
        <v>503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265</v>
      </c>
      <c r="B39" s="212"/>
      <c r="C39" s="213" t="s">
        <v>93</v>
      </c>
      <c r="D39" s="214">
        <f>D8+D12+D29+D34+D38</f>
        <v>1097840</v>
      </c>
      <c r="E39" s="214">
        <f aca="true" t="shared" si="10" ref="E39:M39">E8+E12+E29+E34+E38</f>
        <v>1097840</v>
      </c>
      <c r="F39" s="313">
        <f>F8+F12+F29+F34+F38</f>
        <v>183676.06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851929.38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272</v>
      </c>
      <c r="B40" s="61"/>
      <c r="C40" s="100" t="s">
        <v>504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0</v>
      </c>
      <c r="G40" s="79">
        <f t="shared" si="11"/>
        <v>0</v>
      </c>
      <c r="H40" s="79">
        <f t="shared" si="11"/>
        <v>0</v>
      </c>
      <c r="I40" s="79">
        <f t="shared" si="11"/>
        <v>0</v>
      </c>
      <c r="J40" s="79">
        <f t="shared" si="11"/>
        <v>2000</v>
      </c>
      <c r="K40" s="79">
        <f t="shared" si="11"/>
        <v>2000</v>
      </c>
    </row>
    <row r="41" spans="1:11" s="21" customFormat="1" ht="28.5" customHeight="1">
      <c r="A41" s="89" t="s">
        <v>222</v>
      </c>
      <c r="B41" s="61" t="s">
        <v>50</v>
      </c>
      <c r="C41" s="273" t="s">
        <v>505</v>
      </c>
      <c r="D41" s="92">
        <v>2000</v>
      </c>
      <c r="E41" s="92">
        <f>D41</f>
        <v>2000</v>
      </c>
      <c r="F41" s="314">
        <v>0</v>
      </c>
      <c r="G41" s="62">
        <v>0</v>
      </c>
      <c r="H41" s="62">
        <v>0</v>
      </c>
      <c r="I41" s="62">
        <f>SUM(F41:H41)</f>
        <v>0</v>
      </c>
      <c r="J41" s="62">
        <f>D41-F41</f>
        <v>2000</v>
      </c>
      <c r="K41" s="62">
        <f>E41-F41</f>
        <v>2000</v>
      </c>
    </row>
    <row r="42" spans="1:11" s="21" customFormat="1" ht="63" customHeight="1">
      <c r="A42" s="197" t="s">
        <v>390</v>
      </c>
      <c r="B42" s="61"/>
      <c r="C42" s="198" t="s">
        <v>506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222</v>
      </c>
      <c r="B43" s="61" t="s">
        <v>50</v>
      </c>
      <c r="C43" s="273" t="s">
        <v>507</v>
      </c>
      <c r="D43" s="92">
        <v>300</v>
      </c>
      <c r="E43" s="92">
        <f>D43</f>
        <v>300</v>
      </c>
      <c r="F43" s="314">
        <v>0</v>
      </c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195</v>
      </c>
      <c r="B44" s="215"/>
      <c r="C44" s="216" t="s">
        <v>194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0</v>
      </c>
      <c r="G44" s="214">
        <f t="shared" si="12"/>
        <v>0</v>
      </c>
      <c r="H44" s="214">
        <f t="shared" si="12"/>
        <v>0</v>
      </c>
      <c r="I44" s="214">
        <f t="shared" si="12"/>
        <v>0</v>
      </c>
      <c r="J44" s="214">
        <f t="shared" si="12"/>
        <v>2300</v>
      </c>
      <c r="K44" s="214">
        <f t="shared" si="12"/>
        <v>2300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207</v>
      </c>
      <c r="B45" s="63"/>
      <c r="C45" s="200" t="s">
        <v>392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374</v>
      </c>
      <c r="B46" s="63"/>
      <c r="C46" s="273" t="s">
        <v>413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393</v>
      </c>
      <c r="B47" s="63"/>
      <c r="C47" s="273" t="s">
        <v>413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391</v>
      </c>
      <c r="B48" s="215"/>
      <c r="C48" s="216" t="s">
        <v>208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 hidden="1">
      <c r="A49" s="95" t="s">
        <v>273</v>
      </c>
      <c r="B49" s="63"/>
      <c r="C49" s="80" t="s">
        <v>508</v>
      </c>
      <c r="D49" s="65">
        <f aca="true" t="shared" si="14" ref="D49:K49">D50+D51</f>
        <v>0</v>
      </c>
      <c r="E49" s="65">
        <f t="shared" si="14"/>
        <v>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0</v>
      </c>
      <c r="K49" s="65">
        <f t="shared" si="14"/>
        <v>0</v>
      </c>
    </row>
    <row r="50" spans="1:11" s="21" customFormat="1" ht="16.5" customHeight="1" hidden="1">
      <c r="A50" s="82" t="s">
        <v>56</v>
      </c>
      <c r="B50" s="61">
        <v>200</v>
      </c>
      <c r="C50" s="273" t="s">
        <v>509</v>
      </c>
      <c r="D50" s="92">
        <v>0</v>
      </c>
      <c r="E50" s="92">
        <f>D50</f>
        <v>0</v>
      </c>
      <c r="F50" s="315">
        <v>0</v>
      </c>
      <c r="G50" s="92">
        <v>0</v>
      </c>
      <c r="H50" s="92">
        <v>0</v>
      </c>
      <c r="I50" s="92">
        <f>F50+G50+H50</f>
        <v>0</v>
      </c>
      <c r="J50" s="92">
        <f>D50-F50</f>
        <v>0</v>
      </c>
      <c r="K50" s="92">
        <f>E50-F50</f>
        <v>0</v>
      </c>
    </row>
    <row r="51" spans="1:11" s="21" customFormat="1" ht="16.5" customHeight="1" hidden="1">
      <c r="A51" s="101" t="s">
        <v>374</v>
      </c>
      <c r="B51" s="61" t="s">
        <v>50</v>
      </c>
      <c r="C51" s="80" t="s">
        <v>452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375</v>
      </c>
      <c r="B52" s="61" t="s">
        <v>50</v>
      </c>
      <c r="C52" s="273" t="s">
        <v>455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186</v>
      </c>
      <c r="B53" s="63"/>
      <c r="C53" s="80" t="s">
        <v>382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376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274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190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385</v>
      </c>
      <c r="B57" s="61"/>
      <c r="C57" s="80" t="s">
        <v>386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374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375</v>
      </c>
      <c r="B59" s="61" t="s">
        <v>50</v>
      </c>
      <c r="C59" s="273" t="s">
        <v>388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184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185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210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275</v>
      </c>
      <c r="B63" s="61"/>
      <c r="C63" s="80" t="s">
        <v>510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222</v>
      </c>
      <c r="B64" s="61" t="s">
        <v>50</v>
      </c>
      <c r="C64" s="273" t="s">
        <v>511</v>
      </c>
      <c r="D64" s="92">
        <f>500</f>
        <v>500</v>
      </c>
      <c r="E64" s="92">
        <f>D64</f>
        <v>500</v>
      </c>
      <c r="F64" s="314">
        <v>0</v>
      </c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8.5" customHeight="1" hidden="1">
      <c r="A65" s="95" t="s">
        <v>167</v>
      </c>
      <c r="B65" s="61"/>
      <c r="C65" s="100" t="s">
        <v>168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166</v>
      </c>
      <c r="B66" s="61" t="s">
        <v>50</v>
      </c>
      <c r="C66" s="273" t="s">
        <v>172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1" s="21" customFormat="1" ht="29.25" customHeight="1">
      <c r="A67" s="232" t="s">
        <v>477</v>
      </c>
      <c r="B67" s="218"/>
      <c r="C67" s="228" t="s">
        <v>151</v>
      </c>
      <c r="D67" s="211">
        <f>D53+D57+D63+D49</f>
        <v>500</v>
      </c>
      <c r="E67" s="211">
        <f aca="true" t="shared" si="19" ref="E67:K67">E53+E57+E63+E49</f>
        <v>500</v>
      </c>
      <c r="F67" s="313">
        <f t="shared" si="19"/>
        <v>0</v>
      </c>
      <c r="G67" s="211">
        <f t="shared" si="19"/>
        <v>0</v>
      </c>
      <c r="H67" s="211">
        <f t="shared" si="19"/>
        <v>0</v>
      </c>
      <c r="I67" s="211">
        <f t="shared" si="19"/>
        <v>0</v>
      </c>
      <c r="J67" s="211">
        <f t="shared" si="19"/>
        <v>500</v>
      </c>
      <c r="K67" s="211">
        <f t="shared" si="19"/>
        <v>500</v>
      </c>
    </row>
    <row r="68" spans="1:13" s="21" customFormat="1" ht="25.5" customHeight="1">
      <c r="A68" s="267" t="s">
        <v>266</v>
      </c>
      <c r="B68" s="218"/>
      <c r="C68" s="210" t="s">
        <v>254</v>
      </c>
      <c r="D68" s="211">
        <f>D39+D44+D67+D48</f>
        <v>1100640</v>
      </c>
      <c r="E68" s="211">
        <f>E39+E44+E67+E48</f>
        <v>1100640</v>
      </c>
      <c r="F68" s="313">
        <f>F39+F44+F67+F48</f>
        <v>183676.06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854729.38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211</v>
      </c>
      <c r="B69" s="70"/>
      <c r="C69" s="80" t="s">
        <v>512</v>
      </c>
      <c r="D69" s="79">
        <f>D70+D71+D73+D76</f>
        <v>114948.95999999999</v>
      </c>
      <c r="E69" s="79">
        <f aca="true" t="shared" si="21" ref="E69:K69">E70+E71+E73+E76</f>
        <v>114948.95999999999</v>
      </c>
      <c r="F69" s="316">
        <f>F70+F71+F73+F76</f>
        <v>11284.98</v>
      </c>
      <c r="G69" s="79">
        <f t="shared" si="21"/>
        <v>0</v>
      </c>
      <c r="H69" s="79">
        <f t="shared" si="21"/>
        <v>0</v>
      </c>
      <c r="I69" s="79">
        <f t="shared" si="21"/>
        <v>11284.98</v>
      </c>
      <c r="J69" s="79">
        <f t="shared" si="21"/>
        <v>103663.98000000001</v>
      </c>
      <c r="K69" s="79">
        <f t="shared" si="21"/>
        <v>103663.98000000001</v>
      </c>
      <c r="O69" s="246"/>
    </row>
    <row r="70" spans="1:11" s="21" customFormat="1" ht="16.5" customHeight="1">
      <c r="A70" s="60" t="s">
        <v>51</v>
      </c>
      <c r="B70" s="61" t="s">
        <v>50</v>
      </c>
      <c r="C70" s="273" t="s">
        <v>513</v>
      </c>
      <c r="D70" s="92">
        <v>78000</v>
      </c>
      <c r="E70" s="92">
        <f aca="true" t="shared" si="22" ref="E70:E76">D70</f>
        <v>78000</v>
      </c>
      <c r="F70" s="314">
        <f>2500+325+845+5652.68</f>
        <v>9322.68</v>
      </c>
      <c r="G70" s="62">
        <v>0</v>
      </c>
      <c r="H70" s="62">
        <v>0</v>
      </c>
      <c r="I70" s="62">
        <f aca="true" t="shared" si="23" ref="I70:I76">SUM(F70:H70)</f>
        <v>9322.68</v>
      </c>
      <c r="J70" s="62">
        <f aca="true" t="shared" si="24" ref="J70:J76">D70-F70</f>
        <v>68677.32</v>
      </c>
      <c r="K70" s="62">
        <f aca="true" t="shared" si="25" ref="K70:K76">E70-F70</f>
        <v>68677.32</v>
      </c>
    </row>
    <row r="71" spans="1:11" s="21" customFormat="1" ht="35.25" customHeight="1">
      <c r="A71" s="201" t="s">
        <v>412</v>
      </c>
      <c r="B71" s="61"/>
      <c r="C71" s="273" t="s">
        <v>543</v>
      </c>
      <c r="D71" s="92">
        <v>0</v>
      </c>
      <c r="E71" s="92">
        <f t="shared" si="22"/>
        <v>0</v>
      </c>
      <c r="F71" s="314">
        <v>0</v>
      </c>
      <c r="G71" s="62"/>
      <c r="H71" s="62"/>
      <c r="I71" s="62">
        <f t="shared" si="23"/>
        <v>0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430</v>
      </c>
      <c r="D72" s="92">
        <f>D70+D71</f>
        <v>78000</v>
      </c>
      <c r="E72" s="92">
        <f aca="true" t="shared" si="26" ref="E72:K72">E70+E71</f>
        <v>78000</v>
      </c>
      <c r="F72" s="315">
        <f t="shared" si="26"/>
        <v>9322.68</v>
      </c>
      <c r="G72" s="92">
        <f t="shared" si="26"/>
        <v>0</v>
      </c>
      <c r="H72" s="92">
        <f t="shared" si="26"/>
        <v>0</v>
      </c>
      <c r="I72" s="92">
        <f t="shared" si="26"/>
        <v>9322.68</v>
      </c>
      <c r="J72" s="92">
        <f t="shared" si="26"/>
        <v>68677.32</v>
      </c>
      <c r="K72" s="92">
        <f t="shared" si="26"/>
        <v>68677.32</v>
      </c>
    </row>
    <row r="73" spans="1:11" s="21" customFormat="1" ht="17.25" customHeight="1">
      <c r="A73" s="60" t="s">
        <v>52</v>
      </c>
      <c r="B73" s="61" t="s">
        <v>50</v>
      </c>
      <c r="C73" s="273" t="s">
        <v>514</v>
      </c>
      <c r="D73" s="92">
        <v>22800</v>
      </c>
      <c r="E73" s="92">
        <f t="shared" si="22"/>
        <v>22800</v>
      </c>
      <c r="F73" s="314">
        <f>1949.3+13</f>
        <v>1962.3</v>
      </c>
      <c r="G73" s="62">
        <v>0</v>
      </c>
      <c r="H73" s="62">
        <v>0</v>
      </c>
      <c r="I73" s="62">
        <f t="shared" si="23"/>
        <v>1962.3</v>
      </c>
      <c r="J73" s="62">
        <f t="shared" si="24"/>
        <v>20837.7</v>
      </c>
      <c r="K73" s="62">
        <f t="shared" si="25"/>
        <v>20837.7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164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150</v>
      </c>
      <c r="B75" s="61" t="s">
        <v>50</v>
      </c>
      <c r="C75" s="273" t="s">
        <v>515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516</v>
      </c>
      <c r="D76" s="92">
        <v>14148.96</v>
      </c>
      <c r="E76" s="92">
        <f t="shared" si="22"/>
        <v>14148.96</v>
      </c>
      <c r="F76" s="314">
        <v>0</v>
      </c>
      <c r="G76" s="62">
        <v>0</v>
      </c>
      <c r="H76" s="62">
        <v>0</v>
      </c>
      <c r="I76" s="62">
        <f t="shared" si="23"/>
        <v>0</v>
      </c>
      <c r="J76" s="62">
        <f t="shared" si="24"/>
        <v>14148.96</v>
      </c>
      <c r="K76" s="62">
        <f t="shared" si="25"/>
        <v>14148.96</v>
      </c>
    </row>
    <row r="77" spans="1:11" s="21" customFormat="1" ht="16.5" customHeight="1" hidden="1">
      <c r="A77" s="227" t="s">
        <v>267</v>
      </c>
      <c r="B77" s="218"/>
      <c r="C77" s="228" t="s">
        <v>89</v>
      </c>
      <c r="D77" s="211">
        <f>D70+D71+D73+D76</f>
        <v>114948.95999999999</v>
      </c>
      <c r="E77" s="211">
        <f aca="true" t="shared" si="27" ref="E77:K77">E70+E71+E73+E76</f>
        <v>114948.95999999999</v>
      </c>
      <c r="F77" s="313">
        <f t="shared" si="27"/>
        <v>11284.98</v>
      </c>
      <c r="G77" s="211">
        <f t="shared" si="27"/>
        <v>0</v>
      </c>
      <c r="H77" s="211">
        <f t="shared" si="27"/>
        <v>0</v>
      </c>
      <c r="I77" s="211">
        <f t="shared" si="27"/>
        <v>11284.98</v>
      </c>
      <c r="J77" s="211">
        <f t="shared" si="27"/>
        <v>103663.98000000001</v>
      </c>
      <c r="K77" s="211">
        <f t="shared" si="27"/>
        <v>103663.98000000001</v>
      </c>
    </row>
    <row r="78" spans="1:11" s="21" customFormat="1" ht="46.5" customHeight="1" hidden="1">
      <c r="A78" s="95" t="s">
        <v>206</v>
      </c>
      <c r="B78" s="61"/>
      <c r="C78" s="100" t="s">
        <v>205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166</v>
      </c>
      <c r="B79" s="61">
        <v>200</v>
      </c>
      <c r="C79" s="273" t="s">
        <v>218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156</v>
      </c>
      <c r="B80" s="63"/>
      <c r="C80" s="64" t="s">
        <v>157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256</v>
      </c>
      <c r="B81" s="218"/>
      <c r="C81" s="210" t="s">
        <v>255</v>
      </c>
      <c r="D81" s="211">
        <f aca="true" t="shared" si="30" ref="D81:I81">D77</f>
        <v>114948.95999999999</v>
      </c>
      <c r="E81" s="211">
        <f t="shared" si="30"/>
        <v>114948.95999999999</v>
      </c>
      <c r="F81" s="313">
        <f t="shared" si="30"/>
        <v>11284.98</v>
      </c>
      <c r="G81" s="211">
        <f t="shared" si="30"/>
        <v>0</v>
      </c>
      <c r="H81" s="211">
        <f t="shared" si="30"/>
        <v>0</v>
      </c>
      <c r="I81" s="211">
        <f t="shared" si="30"/>
        <v>11284.98</v>
      </c>
      <c r="J81" s="211">
        <f>D81-F81</f>
        <v>103663.98</v>
      </c>
      <c r="K81" s="211">
        <f>E81-F81</f>
        <v>103663.98</v>
      </c>
    </row>
    <row r="82" spans="1:11" s="59" customFormat="1" ht="19.5" customHeight="1" hidden="1">
      <c r="A82" s="95" t="s">
        <v>212</v>
      </c>
      <c r="B82" s="70"/>
      <c r="C82" s="80" t="s">
        <v>517</v>
      </c>
      <c r="D82" s="79">
        <f>SUM(D83:D86)</f>
        <v>0</v>
      </c>
      <c r="E82" s="79">
        <f>SUM(E83:E86)</f>
        <v>0</v>
      </c>
      <c r="F82" s="316">
        <f>F84+F85+F86</f>
        <v>0</v>
      </c>
      <c r="G82" s="79">
        <f>SUM(G83:G86)</f>
        <v>0</v>
      </c>
      <c r="H82" s="79">
        <f>SUM(H83:H86)</f>
        <v>0</v>
      </c>
      <c r="I82" s="79">
        <f>SUM(I84:I86)</f>
        <v>0</v>
      </c>
      <c r="J82" s="79">
        <f>SUM(J83:J86)</f>
        <v>0</v>
      </c>
      <c r="K82" s="79">
        <f>SUM(K83:K86)</f>
        <v>0</v>
      </c>
    </row>
    <row r="83" spans="1:11" s="59" customFormat="1" ht="16.5" customHeight="1" hidden="1">
      <c r="A83" s="60" t="s">
        <v>169</v>
      </c>
      <c r="B83" s="88" t="s">
        <v>50</v>
      </c>
      <c r="C83" s="275" t="s">
        <v>213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 hidden="1">
      <c r="A84" s="60" t="s">
        <v>56</v>
      </c>
      <c r="B84" s="61" t="s">
        <v>50</v>
      </c>
      <c r="C84" s="273" t="s">
        <v>518</v>
      </c>
      <c r="D84" s="92">
        <v>0</v>
      </c>
      <c r="E84" s="92">
        <f>D84</f>
        <v>0</v>
      </c>
      <c r="F84" s="314">
        <v>0</v>
      </c>
      <c r="G84" s="62">
        <v>0</v>
      </c>
      <c r="H84" s="62">
        <v>0</v>
      </c>
      <c r="I84" s="62">
        <f>SUM(F84:H84)</f>
        <v>0</v>
      </c>
      <c r="J84" s="62">
        <f>D84-F84</f>
        <v>0</v>
      </c>
      <c r="K84" s="62">
        <f>E84-F84</f>
        <v>0</v>
      </c>
    </row>
    <row r="85" spans="1:11" s="21" customFormat="1" ht="16.5" customHeight="1" hidden="1">
      <c r="A85" s="60" t="s">
        <v>182</v>
      </c>
      <c r="B85" s="61" t="s">
        <v>50</v>
      </c>
      <c r="C85" s="273" t="s">
        <v>276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 hidden="1">
      <c r="A86" s="60" t="s">
        <v>58</v>
      </c>
      <c r="B86" s="61" t="s">
        <v>50</v>
      </c>
      <c r="C86" s="273" t="s">
        <v>519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 hidden="1">
      <c r="A87" s="232" t="s">
        <v>476</v>
      </c>
      <c r="B87" s="218"/>
      <c r="C87" s="228" t="s">
        <v>90</v>
      </c>
      <c r="D87" s="211">
        <f>D82</f>
        <v>0</v>
      </c>
      <c r="E87" s="211">
        <f aca="true" t="shared" si="32" ref="E87:K87">E82</f>
        <v>0</v>
      </c>
      <c r="F87" s="313">
        <f>F82</f>
        <v>0</v>
      </c>
      <c r="G87" s="211">
        <f t="shared" si="32"/>
        <v>0</v>
      </c>
      <c r="H87" s="211">
        <f t="shared" si="32"/>
        <v>0</v>
      </c>
      <c r="I87" s="229">
        <f t="shared" si="31"/>
        <v>0</v>
      </c>
      <c r="J87" s="211">
        <f t="shared" si="32"/>
        <v>0</v>
      </c>
      <c r="K87" s="211">
        <f t="shared" si="32"/>
        <v>0</v>
      </c>
    </row>
    <row r="88" spans="1:11" s="59" customFormat="1" ht="0.75" customHeight="1">
      <c r="A88" s="95" t="s">
        <v>175</v>
      </c>
      <c r="B88" s="90"/>
      <c r="C88" s="80" t="s">
        <v>176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179</v>
      </c>
      <c r="B89" s="61" t="s">
        <v>50</v>
      </c>
      <c r="C89" s="273" t="s">
        <v>177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178</v>
      </c>
      <c r="B90" s="70"/>
      <c r="C90" s="80" t="s">
        <v>116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179</v>
      </c>
      <c r="B91" s="61" t="s">
        <v>50</v>
      </c>
      <c r="C91" s="273" t="s">
        <v>128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180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149</v>
      </c>
      <c r="B95" s="70"/>
      <c r="C95" s="80" t="s">
        <v>141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144</v>
      </c>
      <c r="B96" s="61" t="s">
        <v>50</v>
      </c>
      <c r="C96" s="273" t="s">
        <v>142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143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145</v>
      </c>
      <c r="B98" s="61"/>
      <c r="C98" s="64" t="s">
        <v>146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154</v>
      </c>
      <c r="B99" s="61"/>
      <c r="C99" s="64" t="s">
        <v>152</v>
      </c>
      <c r="D99" s="79">
        <f aca="true" t="shared" si="38" ref="D99:K99">SUM(D100:D114)</f>
        <v>1993363</v>
      </c>
      <c r="E99" s="79">
        <f t="shared" si="38"/>
        <v>1993363</v>
      </c>
      <c r="F99" s="316">
        <f t="shared" si="38"/>
        <v>51964</v>
      </c>
      <c r="G99" s="79">
        <f t="shared" si="38"/>
        <v>0</v>
      </c>
      <c r="H99" s="79">
        <f t="shared" si="38"/>
        <v>0</v>
      </c>
      <c r="I99" s="62">
        <f t="shared" si="31"/>
        <v>51964</v>
      </c>
      <c r="J99" s="79">
        <f t="shared" si="38"/>
        <v>1941399</v>
      </c>
      <c r="K99" s="79">
        <f t="shared" si="38"/>
        <v>1941399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155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258</v>
      </c>
      <c r="B101" s="61"/>
      <c r="C101" s="78" t="s">
        <v>257</v>
      </c>
      <c r="D101" s="65">
        <f>D87</f>
        <v>0</v>
      </c>
      <c r="E101" s="65">
        <f>E82</f>
        <v>0</v>
      </c>
      <c r="F101" s="318">
        <f>F87</f>
        <v>0</v>
      </c>
      <c r="G101" s="87">
        <f>G87</f>
        <v>0</v>
      </c>
      <c r="H101" s="87">
        <f>H87</f>
        <v>0</v>
      </c>
      <c r="I101" s="62">
        <f t="shared" si="31"/>
        <v>0</v>
      </c>
      <c r="J101" s="87">
        <f>D101-F101</f>
        <v>0</v>
      </c>
      <c r="K101" s="87">
        <f>E101-F101</f>
        <v>0</v>
      </c>
    </row>
    <row r="102" spans="1:11" s="21" customFormat="1" ht="58.5" customHeight="1" hidden="1">
      <c r="A102" s="101" t="s">
        <v>243</v>
      </c>
      <c r="B102" s="61"/>
      <c r="C102" s="86" t="s">
        <v>242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182</v>
      </c>
      <c r="B103" s="61" t="s">
        <v>50</v>
      </c>
      <c r="C103" s="273" t="s">
        <v>244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245</v>
      </c>
      <c r="B104" s="61"/>
      <c r="C104" s="86" t="s">
        <v>246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182</v>
      </c>
      <c r="B105" s="61" t="s">
        <v>50</v>
      </c>
      <c r="C105" s="273" t="s">
        <v>247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251</v>
      </c>
      <c r="B106" s="61"/>
      <c r="C106" s="86" t="s">
        <v>250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252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182</v>
      </c>
      <c r="B108" s="61"/>
      <c r="C108" s="273" t="s">
        <v>253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248</v>
      </c>
      <c r="B110" s="61"/>
      <c r="C110" s="64" t="s">
        <v>249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364</v>
      </c>
      <c r="B111" s="220"/>
      <c r="C111" s="213" t="s">
        <v>358</v>
      </c>
      <c r="D111" s="214">
        <f>D112</f>
        <v>30000</v>
      </c>
      <c r="E111" s="214">
        <f>E112</f>
        <v>30000</v>
      </c>
      <c r="F111" s="313">
        <f aca="true" t="shared" si="42" ref="F111:K111">F112</f>
        <v>0</v>
      </c>
      <c r="G111" s="214">
        <f t="shared" si="42"/>
        <v>0</v>
      </c>
      <c r="H111" s="214">
        <f t="shared" si="42"/>
        <v>0</v>
      </c>
      <c r="I111" s="214">
        <f t="shared" si="42"/>
        <v>0</v>
      </c>
      <c r="J111" s="214">
        <f t="shared" si="42"/>
        <v>30000</v>
      </c>
      <c r="K111" s="214">
        <f t="shared" si="42"/>
        <v>30000</v>
      </c>
    </row>
    <row r="112" spans="1:11" s="21" customFormat="1" ht="15.75" customHeight="1">
      <c r="A112" s="183" t="s">
        <v>372</v>
      </c>
      <c r="B112" s="61"/>
      <c r="C112" s="80" t="s">
        <v>520</v>
      </c>
      <c r="D112" s="65">
        <f>D113</f>
        <v>30000</v>
      </c>
      <c r="E112" s="65">
        <f aca="true" t="shared" si="43" ref="E112:K113">E113</f>
        <v>30000</v>
      </c>
      <c r="F112" s="313">
        <f t="shared" si="43"/>
        <v>0</v>
      </c>
      <c r="G112" s="65">
        <f t="shared" si="43"/>
        <v>0</v>
      </c>
      <c r="H112" s="65">
        <f t="shared" si="43"/>
        <v>0</v>
      </c>
      <c r="I112" s="65">
        <f t="shared" si="43"/>
        <v>0</v>
      </c>
      <c r="J112" s="65">
        <f t="shared" si="43"/>
        <v>30000</v>
      </c>
      <c r="K112" s="65">
        <f t="shared" si="43"/>
        <v>30000</v>
      </c>
    </row>
    <row r="113" spans="1:11" s="21" customFormat="1" ht="16.5" customHeight="1">
      <c r="A113" s="82" t="s">
        <v>441</v>
      </c>
      <c r="B113" s="61" t="s">
        <v>50</v>
      </c>
      <c r="C113" s="273" t="s">
        <v>521</v>
      </c>
      <c r="D113" s="92">
        <v>30000</v>
      </c>
      <c r="E113" s="92">
        <f>D113</f>
        <v>30000</v>
      </c>
      <c r="F113" s="315">
        <v>0</v>
      </c>
      <c r="G113" s="92">
        <f t="shared" si="43"/>
        <v>0</v>
      </c>
      <c r="H113" s="92">
        <f t="shared" si="43"/>
        <v>0</v>
      </c>
      <c r="I113" s="62">
        <f t="shared" si="31"/>
        <v>0</v>
      </c>
      <c r="J113" s="92">
        <f>D113-F113</f>
        <v>30000</v>
      </c>
      <c r="K113" s="92">
        <f>E113-F113</f>
        <v>30000</v>
      </c>
    </row>
    <row r="114" spans="1:11" s="21" customFormat="1" ht="147.75" customHeight="1">
      <c r="A114" s="95" t="s">
        <v>234</v>
      </c>
      <c r="B114" s="61"/>
      <c r="C114" s="80" t="s">
        <v>522</v>
      </c>
      <c r="D114" s="65">
        <f>SUM(D115:D117)</f>
        <v>1903363</v>
      </c>
      <c r="E114" s="208">
        <f aca="true" t="shared" si="44" ref="E114:K114">SUM(E115:E117)</f>
        <v>1903363</v>
      </c>
      <c r="F114" s="313">
        <f>F115</f>
        <v>51964</v>
      </c>
      <c r="G114" s="65">
        <f t="shared" si="44"/>
        <v>0</v>
      </c>
      <c r="H114" s="65">
        <f t="shared" si="44"/>
        <v>0</v>
      </c>
      <c r="I114" s="65">
        <f t="shared" si="44"/>
        <v>51964</v>
      </c>
      <c r="J114" s="65">
        <f t="shared" si="44"/>
        <v>1851399</v>
      </c>
      <c r="K114" s="65">
        <f t="shared" si="44"/>
        <v>1851399</v>
      </c>
    </row>
    <row r="115" spans="1:11" s="21" customFormat="1" ht="15" customHeight="1">
      <c r="A115" s="82" t="s">
        <v>55</v>
      </c>
      <c r="B115" s="61" t="s">
        <v>50</v>
      </c>
      <c r="C115" s="273" t="s">
        <v>523</v>
      </c>
      <c r="D115" s="92">
        <v>1903363</v>
      </c>
      <c r="E115" s="92">
        <f>D115</f>
        <v>1903363</v>
      </c>
      <c r="F115" s="314">
        <v>51964</v>
      </c>
      <c r="G115" s="62">
        <v>0</v>
      </c>
      <c r="H115" s="62">
        <v>0</v>
      </c>
      <c r="I115" s="62">
        <f>SUM(F115:H115)</f>
        <v>51964</v>
      </c>
      <c r="J115" s="62">
        <f>D115-F115</f>
        <v>1851399</v>
      </c>
      <c r="K115" s="62">
        <f>E115-F115</f>
        <v>1851399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377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387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235</v>
      </c>
      <c r="B118" s="220"/>
      <c r="C118" s="216" t="s">
        <v>236</v>
      </c>
      <c r="D118" s="214">
        <f>D115+D116+D117</f>
        <v>1903363</v>
      </c>
      <c r="E118" s="214">
        <f>E115+E116+E117</f>
        <v>1903363</v>
      </c>
      <c r="F118" s="313">
        <f>F114</f>
        <v>51964</v>
      </c>
      <c r="G118" s="214">
        <f>G115+G116</f>
        <v>0</v>
      </c>
      <c r="H118" s="214">
        <f>H115+H116</f>
        <v>0</v>
      </c>
      <c r="I118" s="214">
        <f>I115+I116</f>
        <v>51964</v>
      </c>
      <c r="J118" s="214">
        <f>J114</f>
        <v>1851399</v>
      </c>
      <c r="K118" s="214">
        <f>K114</f>
        <v>1851399</v>
      </c>
    </row>
    <row r="119" spans="1:11" s="21" customFormat="1" ht="27.75" customHeight="1" hidden="1">
      <c r="A119" s="97" t="s">
        <v>447</v>
      </c>
      <c r="B119" s="61"/>
      <c r="C119" s="80" t="s">
        <v>524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525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446</v>
      </c>
      <c r="B121" s="220"/>
      <c r="C121" s="216" t="s">
        <v>445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268</v>
      </c>
      <c r="B122" s="231"/>
      <c r="C122" s="210" t="s">
        <v>153</v>
      </c>
      <c r="D122" s="211">
        <f>D111+D118+D121</f>
        <v>1933363</v>
      </c>
      <c r="E122" s="211">
        <f aca="true" t="shared" si="47" ref="E122:K122">E111+E118+E121</f>
        <v>1933363</v>
      </c>
      <c r="F122" s="313">
        <f>F111+F118+F121</f>
        <v>51964</v>
      </c>
      <c r="G122" s="211">
        <f t="shared" si="47"/>
        <v>0</v>
      </c>
      <c r="H122" s="211">
        <f t="shared" si="47"/>
        <v>0</v>
      </c>
      <c r="I122" s="211">
        <f t="shared" si="47"/>
        <v>51964</v>
      </c>
      <c r="J122" s="211">
        <f t="shared" si="47"/>
        <v>1881399</v>
      </c>
      <c r="K122" s="211">
        <f t="shared" si="47"/>
        <v>1881399</v>
      </c>
    </row>
    <row r="123" spans="1:11" s="59" customFormat="1" ht="0.75" customHeight="1">
      <c r="A123" s="95" t="s">
        <v>170</v>
      </c>
      <c r="B123" s="70"/>
      <c r="C123" s="80" t="s">
        <v>171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230</v>
      </c>
      <c r="B124" s="61"/>
      <c r="C124" s="80" t="s">
        <v>526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527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231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117</v>
      </c>
      <c r="B127" s="260"/>
      <c r="C127" s="261" t="s">
        <v>528</v>
      </c>
      <c r="D127" s="262">
        <f>D128+D130+D131+D132+D129+D133</f>
        <v>87023</v>
      </c>
      <c r="E127" s="262">
        <f>E128+E130+E131+E132+E129+E133</f>
        <v>87023</v>
      </c>
      <c r="F127" s="319">
        <f>F128+F130+F131+F132+F129+F133</f>
        <v>20614.030000000002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0</v>
      </c>
      <c r="J127" s="262">
        <f>J128+J130+J131+J132+J129</f>
        <v>0</v>
      </c>
      <c r="K127" s="262">
        <f>D127-F127</f>
        <v>66408.97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378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529</v>
      </c>
      <c r="D129" s="279">
        <v>87023</v>
      </c>
      <c r="E129" s="279">
        <f t="shared" si="49"/>
        <v>87023</v>
      </c>
      <c r="F129" s="243">
        <f>8910.52+3876.85+2657.52+5169.14</f>
        <v>20614.030000000002</v>
      </c>
      <c r="G129" s="243"/>
      <c r="H129" s="243"/>
      <c r="I129" s="243"/>
      <c r="J129" s="243"/>
      <c r="K129" s="243">
        <f t="shared" si="51"/>
        <v>66408.97</v>
      </c>
    </row>
    <row r="130" spans="1:11" s="21" customFormat="1" ht="18" customHeight="1" hidden="1">
      <c r="A130" s="82" t="s">
        <v>55</v>
      </c>
      <c r="B130" s="61" t="s">
        <v>50</v>
      </c>
      <c r="C130" s="273" t="s">
        <v>530</v>
      </c>
      <c r="D130" s="92">
        <v>0</v>
      </c>
      <c r="E130" s="92">
        <f t="shared" si="49"/>
        <v>0</v>
      </c>
      <c r="F130" s="314">
        <v>0</v>
      </c>
      <c r="G130" s="62">
        <v>0</v>
      </c>
      <c r="H130" s="62">
        <v>0</v>
      </c>
      <c r="I130" s="62">
        <f>SUM(F130:H130)</f>
        <v>0</v>
      </c>
      <c r="J130" s="62">
        <f t="shared" si="50"/>
        <v>0</v>
      </c>
      <c r="K130" s="62">
        <f t="shared" si="51"/>
        <v>0</v>
      </c>
    </row>
    <row r="131" spans="1:14" s="21" customFormat="1" ht="18.75" customHeight="1" hidden="1">
      <c r="A131" s="82" t="s">
        <v>56</v>
      </c>
      <c r="B131" s="61" t="s">
        <v>50</v>
      </c>
      <c r="C131" s="273" t="s">
        <v>531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 hidden="1">
      <c r="A132" s="82" t="s">
        <v>58</v>
      </c>
      <c r="B132" s="61" t="s">
        <v>50</v>
      </c>
      <c r="C132" s="273" t="s">
        <v>532</v>
      </c>
      <c r="D132" s="92">
        <v>0</v>
      </c>
      <c r="E132" s="92">
        <f t="shared" si="49"/>
        <v>0</v>
      </c>
      <c r="F132" s="314">
        <v>0</v>
      </c>
      <c r="G132" s="62">
        <v>0</v>
      </c>
      <c r="H132" s="62">
        <v>0</v>
      </c>
      <c r="I132" s="62">
        <f>SUM(F132:H132)</f>
        <v>0</v>
      </c>
      <c r="J132" s="62">
        <f t="shared" si="50"/>
        <v>0</v>
      </c>
      <c r="K132" s="62">
        <f t="shared" si="51"/>
        <v>0</v>
      </c>
    </row>
    <row r="133" spans="1:11" s="21" customFormat="1" ht="18" customHeight="1" hidden="1">
      <c r="A133" s="60"/>
      <c r="B133" s="61" t="s">
        <v>50</v>
      </c>
      <c r="C133" s="273" t="s">
        <v>533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277</v>
      </c>
      <c r="B134" s="231"/>
      <c r="C134" s="257" t="s">
        <v>534</v>
      </c>
      <c r="D134" s="211">
        <f aca="true" t="shared" si="52" ref="D134:I134">D135</f>
        <v>4000</v>
      </c>
      <c r="E134" s="211">
        <f t="shared" si="52"/>
        <v>4000</v>
      </c>
      <c r="F134" s="318">
        <f t="shared" si="52"/>
        <v>0</v>
      </c>
      <c r="G134" s="259">
        <f t="shared" si="52"/>
        <v>0</v>
      </c>
      <c r="H134" s="259">
        <f t="shared" si="52"/>
        <v>0</v>
      </c>
      <c r="I134" s="259">
        <f t="shared" si="52"/>
        <v>0</v>
      </c>
      <c r="J134" s="259">
        <f t="shared" si="50"/>
        <v>4000</v>
      </c>
      <c r="K134" s="259">
        <f t="shared" si="51"/>
        <v>4000</v>
      </c>
      <c r="N134" s="247"/>
    </row>
    <row r="135" spans="1:14" s="21" customFormat="1" ht="18" customHeight="1">
      <c r="A135" s="82" t="s">
        <v>277</v>
      </c>
      <c r="B135" s="61" t="s">
        <v>50</v>
      </c>
      <c r="C135" s="273" t="s">
        <v>535</v>
      </c>
      <c r="D135" s="92">
        <v>4000</v>
      </c>
      <c r="E135" s="92">
        <f>D135</f>
        <v>4000</v>
      </c>
      <c r="F135" s="314">
        <v>0</v>
      </c>
      <c r="G135" s="62">
        <f>F135</f>
        <v>0</v>
      </c>
      <c r="H135" s="62">
        <f>G135</f>
        <v>0</v>
      </c>
      <c r="I135" s="62">
        <f>H135</f>
        <v>0</v>
      </c>
      <c r="J135" s="62">
        <f t="shared" si="50"/>
        <v>4000</v>
      </c>
      <c r="K135" s="62">
        <f t="shared" si="51"/>
        <v>4000</v>
      </c>
      <c r="N135" s="247"/>
    </row>
    <row r="136" spans="1:11" s="21" customFormat="1" ht="29.25" customHeight="1">
      <c r="A136" s="277" t="s">
        <v>278</v>
      </c>
      <c r="B136" s="220"/>
      <c r="C136" s="223" t="s">
        <v>536</v>
      </c>
      <c r="D136" s="214">
        <f>D137+D138+D139+D140</f>
        <v>2000</v>
      </c>
      <c r="E136" s="214">
        <f>E137+E138+E139+E140</f>
        <v>2000</v>
      </c>
      <c r="F136" s="318">
        <f aca="true" t="shared" si="53" ref="F136:K136">F137+F138+F139+F140</f>
        <v>0</v>
      </c>
      <c r="G136" s="209">
        <f t="shared" si="53"/>
        <v>0</v>
      </c>
      <c r="H136" s="209">
        <f t="shared" si="53"/>
        <v>0</v>
      </c>
      <c r="I136" s="209">
        <f t="shared" si="53"/>
        <v>0</v>
      </c>
      <c r="J136" s="209">
        <f t="shared" si="53"/>
        <v>2000</v>
      </c>
      <c r="K136" s="209">
        <f t="shared" si="53"/>
        <v>2000</v>
      </c>
    </row>
    <row r="137" spans="1:11" s="21" customFormat="1" ht="21" customHeight="1" hidden="1">
      <c r="A137" s="82" t="s">
        <v>54</v>
      </c>
      <c r="B137" s="61"/>
      <c r="C137" s="273" t="s">
        <v>537</v>
      </c>
      <c r="D137" s="92">
        <v>0</v>
      </c>
      <c r="E137" s="92">
        <f>D137</f>
        <v>0</v>
      </c>
      <c r="F137" s="314"/>
      <c r="G137" s="62"/>
      <c r="H137" s="62"/>
      <c r="I137" s="62">
        <f>SUM(F137:H137)</f>
        <v>0</v>
      </c>
      <c r="J137" s="62">
        <f>D137-F137</f>
        <v>0</v>
      </c>
      <c r="K137" s="62">
        <f>E137-F137</f>
        <v>0</v>
      </c>
    </row>
    <row r="138" spans="1:11" s="21" customFormat="1" ht="21" customHeight="1">
      <c r="A138" s="82" t="s">
        <v>55</v>
      </c>
      <c r="B138" s="61"/>
      <c r="C138" s="273" t="s">
        <v>379</v>
      </c>
      <c r="D138" s="92">
        <v>2000</v>
      </c>
      <c r="E138" s="92">
        <f>D138</f>
        <v>2000</v>
      </c>
      <c r="F138" s="314">
        <v>0</v>
      </c>
      <c r="G138" s="62"/>
      <c r="H138" s="62"/>
      <c r="I138" s="62">
        <f>SUM(F138:H138)</f>
        <v>0</v>
      </c>
      <c r="J138" s="62">
        <f>D138-F138</f>
        <v>2000</v>
      </c>
      <c r="K138" s="62">
        <f>E138-F138</f>
        <v>2000</v>
      </c>
    </row>
    <row r="139" spans="1:11" s="21" customFormat="1" ht="21" customHeight="1" hidden="1">
      <c r="A139" s="60" t="s">
        <v>150</v>
      </c>
      <c r="B139" s="61"/>
      <c r="C139" s="273" t="s">
        <v>450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451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233</v>
      </c>
      <c r="B141" s="61"/>
      <c r="C141" s="80" t="s">
        <v>381</v>
      </c>
      <c r="D141" s="79">
        <f>SUM(D142:D143)</f>
        <v>0</v>
      </c>
      <c r="E141" s="79">
        <f aca="true" t="shared" si="54" ref="E141:K141">SUM(E142:E143)</f>
        <v>0</v>
      </c>
      <c r="F141" s="316">
        <f>F142+F143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456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182</v>
      </c>
      <c r="B143" s="61"/>
      <c r="C143" s="273" t="s">
        <v>400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45.75" customHeight="1">
      <c r="A144" s="322" t="s">
        <v>549</v>
      </c>
      <c r="B144" s="323"/>
      <c r="C144" s="324"/>
      <c r="D144" s="214">
        <f>D145</f>
        <v>251828.45</v>
      </c>
      <c r="E144" s="214">
        <f aca="true" t="shared" si="55" ref="E144:J144">E145</f>
        <v>251828.45</v>
      </c>
      <c r="F144" s="314">
        <f>F145</f>
        <v>0</v>
      </c>
      <c r="G144" s="214">
        <f t="shared" si="55"/>
        <v>0</v>
      </c>
      <c r="H144" s="214">
        <f t="shared" si="55"/>
        <v>0</v>
      </c>
      <c r="I144" s="214">
        <f t="shared" si="55"/>
        <v>0</v>
      </c>
      <c r="J144" s="214">
        <f t="shared" si="55"/>
        <v>0</v>
      </c>
      <c r="K144" s="325">
        <f>E144-F144</f>
        <v>251828.45</v>
      </c>
    </row>
    <row r="145" spans="1:11" s="21" customFormat="1" ht="15.75" customHeight="1">
      <c r="A145" s="82" t="s">
        <v>56</v>
      </c>
      <c r="B145" s="61"/>
      <c r="C145" s="273" t="s">
        <v>550</v>
      </c>
      <c r="D145" s="92">
        <v>251828.45</v>
      </c>
      <c r="E145" s="92">
        <f>D145</f>
        <v>251828.45</v>
      </c>
      <c r="F145" s="314"/>
      <c r="G145" s="62"/>
      <c r="H145" s="62"/>
      <c r="I145" s="62"/>
      <c r="J145" s="62"/>
      <c r="K145" s="62">
        <f>E145-F145</f>
        <v>251828.45</v>
      </c>
    </row>
    <row r="146" spans="1:11" s="21" customFormat="1" ht="22.5" customHeight="1">
      <c r="A146" s="232" t="s">
        <v>475</v>
      </c>
      <c r="B146" s="218"/>
      <c r="C146" s="228" t="s">
        <v>91</v>
      </c>
      <c r="D146" s="211">
        <f>D127+D134+D136+D126+D141+D144</f>
        <v>344851.45</v>
      </c>
      <c r="E146" s="211">
        <f aca="true" t="shared" si="56" ref="E146:K146">E127+E134+E136+E126+E141+E144</f>
        <v>344851.45</v>
      </c>
      <c r="F146" s="211">
        <f t="shared" si="56"/>
        <v>20614.030000000002</v>
      </c>
      <c r="G146" s="211">
        <f t="shared" si="56"/>
        <v>0</v>
      </c>
      <c r="H146" s="211">
        <f t="shared" si="56"/>
        <v>0</v>
      </c>
      <c r="I146" s="211">
        <f t="shared" si="56"/>
        <v>0</v>
      </c>
      <c r="J146" s="211">
        <f t="shared" si="56"/>
        <v>6000</v>
      </c>
      <c r="K146" s="211">
        <f t="shared" si="56"/>
        <v>324237.42000000004</v>
      </c>
    </row>
    <row r="147" spans="1:11" s="21" customFormat="1" ht="15.75" customHeight="1">
      <c r="A147" s="72" t="s">
        <v>269</v>
      </c>
      <c r="B147" s="63"/>
      <c r="C147" s="78" t="s">
        <v>106</v>
      </c>
      <c r="D147" s="65">
        <f>D146</f>
        <v>344851.45</v>
      </c>
      <c r="E147" s="65">
        <f aca="true" t="shared" si="57" ref="E147:K147">E146</f>
        <v>344851.45</v>
      </c>
      <c r="F147" s="313">
        <f t="shared" si="57"/>
        <v>20614.030000000002</v>
      </c>
      <c r="G147" s="65">
        <f t="shared" si="57"/>
        <v>0</v>
      </c>
      <c r="H147" s="65">
        <f t="shared" si="57"/>
        <v>0</v>
      </c>
      <c r="I147" s="65">
        <f t="shared" si="57"/>
        <v>0</v>
      </c>
      <c r="J147" s="65">
        <f t="shared" si="57"/>
        <v>6000</v>
      </c>
      <c r="K147" s="65">
        <f t="shared" si="57"/>
        <v>324237.42000000004</v>
      </c>
    </row>
    <row r="148" spans="1:11" s="21" customFormat="1" ht="24" customHeight="1">
      <c r="A148" s="226" t="s">
        <v>443</v>
      </c>
      <c r="B148" s="215"/>
      <c r="C148" s="223" t="s">
        <v>538</v>
      </c>
      <c r="D148" s="224">
        <f>D149+D150</f>
        <v>25678</v>
      </c>
      <c r="E148" s="224">
        <f aca="true" t="shared" si="58" ref="E148:J148">E149+E150</f>
        <v>25678</v>
      </c>
      <c r="F148" s="316">
        <f t="shared" si="58"/>
        <v>5915.47</v>
      </c>
      <c r="G148" s="224">
        <f t="shared" si="58"/>
        <v>0</v>
      </c>
      <c r="H148" s="224">
        <f t="shared" si="58"/>
        <v>0</v>
      </c>
      <c r="I148" s="224">
        <f t="shared" si="58"/>
        <v>5915.47</v>
      </c>
      <c r="J148" s="224">
        <f t="shared" si="58"/>
        <v>28400</v>
      </c>
      <c r="K148" s="224">
        <f>K149+K150</f>
        <v>19762.53</v>
      </c>
    </row>
    <row r="149" spans="1:13" s="21" customFormat="1" ht="15.75" customHeight="1">
      <c r="A149" s="269" t="s">
        <v>54</v>
      </c>
      <c r="B149" s="244"/>
      <c r="C149" s="274" t="s">
        <v>539</v>
      </c>
      <c r="D149" s="245">
        <v>17000</v>
      </c>
      <c r="E149" s="245">
        <f>D149</f>
        <v>17000</v>
      </c>
      <c r="F149" s="245">
        <v>4517.47</v>
      </c>
      <c r="G149" s="245">
        <v>0</v>
      </c>
      <c r="H149" s="245">
        <v>0</v>
      </c>
      <c r="I149" s="245">
        <f>F149</f>
        <v>4517.47</v>
      </c>
      <c r="J149" s="245">
        <v>28400</v>
      </c>
      <c r="K149" s="245">
        <f>D149-F149</f>
        <v>12482.529999999999</v>
      </c>
      <c r="L149" s="79">
        <v>28400</v>
      </c>
      <c r="M149" s="79">
        <v>28400</v>
      </c>
    </row>
    <row r="150" spans="1:13" s="21" customFormat="1" ht="15.75" customHeight="1">
      <c r="A150" s="82" t="s">
        <v>55</v>
      </c>
      <c r="B150" s="63"/>
      <c r="C150" s="273" t="s">
        <v>540</v>
      </c>
      <c r="D150" s="205">
        <v>8678</v>
      </c>
      <c r="E150" s="205">
        <f>D150</f>
        <v>8678</v>
      </c>
      <c r="F150" s="320">
        <f>1398</f>
        <v>1398</v>
      </c>
      <c r="G150" s="205"/>
      <c r="H150" s="205"/>
      <c r="I150" s="205">
        <f>F150</f>
        <v>1398</v>
      </c>
      <c r="J150" s="205"/>
      <c r="K150" s="205">
        <f>D150-F150</f>
        <v>7280</v>
      </c>
      <c r="L150" s="206"/>
      <c r="M150" s="206"/>
    </row>
    <row r="151" spans="1:11" s="59" customFormat="1" ht="26.25" customHeight="1" hidden="1">
      <c r="A151" s="225" t="s">
        <v>214</v>
      </c>
      <c r="B151" s="222"/>
      <c r="C151" s="223" t="s">
        <v>402</v>
      </c>
      <c r="D151" s="224">
        <f>D152+D153</f>
        <v>10000</v>
      </c>
      <c r="E151" s="205">
        <f>D151</f>
        <v>10000</v>
      </c>
      <c r="F151" s="316">
        <f aca="true" t="shared" si="59" ref="F151:K151">F152+F153</f>
        <v>0</v>
      </c>
      <c r="G151" s="224">
        <f t="shared" si="59"/>
        <v>0</v>
      </c>
      <c r="H151" s="224">
        <f t="shared" si="59"/>
        <v>0</v>
      </c>
      <c r="I151" s="224">
        <f t="shared" si="59"/>
        <v>0</v>
      </c>
      <c r="J151" s="224" t="e">
        <f t="shared" si="59"/>
        <v>#VALUE!</v>
      </c>
      <c r="K151" s="224">
        <f t="shared" si="59"/>
        <v>10000</v>
      </c>
    </row>
    <row r="152" spans="1:11" s="59" customFormat="1" ht="15.75" customHeight="1" hidden="1">
      <c r="A152" s="82" t="s">
        <v>55</v>
      </c>
      <c r="B152" s="61" t="s">
        <v>50</v>
      </c>
      <c r="C152" s="273" t="s">
        <v>401</v>
      </c>
      <c r="D152" s="92">
        <v>0</v>
      </c>
      <c r="E152" s="205">
        <f>D152</f>
        <v>0</v>
      </c>
      <c r="F152" s="314">
        <v>0</v>
      </c>
      <c r="G152" s="62">
        <v>0</v>
      </c>
      <c r="H152" s="62">
        <v>0</v>
      </c>
      <c r="I152" s="62">
        <f>SUM(F152:H152)</f>
        <v>0</v>
      </c>
      <c r="J152" s="62">
        <f>D152-F152</f>
        <v>0</v>
      </c>
      <c r="K152" s="62">
        <f>E152-F152</f>
        <v>0</v>
      </c>
    </row>
    <row r="153" spans="1:11" s="59" customFormat="1" ht="15.75" customHeight="1">
      <c r="A153" s="82" t="s">
        <v>375</v>
      </c>
      <c r="B153" s="61" t="s">
        <v>50</v>
      </c>
      <c r="C153" s="273" t="s">
        <v>547</v>
      </c>
      <c r="D153" s="92">
        <v>10000</v>
      </c>
      <c r="E153" s="205">
        <f>D153</f>
        <v>10000</v>
      </c>
      <c r="F153" s="314">
        <v>0</v>
      </c>
      <c r="G153" s="62">
        <v>0</v>
      </c>
      <c r="H153" s="62">
        <v>0</v>
      </c>
      <c r="I153" s="62">
        <f>SUM(F153:H153)</f>
        <v>0</v>
      </c>
      <c r="J153" s="62" t="s">
        <v>87</v>
      </c>
      <c r="K153" s="62">
        <f>E153-F153</f>
        <v>10000</v>
      </c>
    </row>
    <row r="154" spans="1:11" s="21" customFormat="1" ht="15.75" customHeight="1" hidden="1">
      <c r="A154" s="93" t="s">
        <v>260</v>
      </c>
      <c r="B154" s="61"/>
      <c r="C154" s="64" t="s">
        <v>259</v>
      </c>
      <c r="D154" s="65">
        <f>D148+D151</f>
        <v>35678</v>
      </c>
      <c r="E154" s="65">
        <f aca="true" t="shared" si="60" ref="E154:K154">E148+E151</f>
        <v>35678</v>
      </c>
      <c r="F154" s="318">
        <f>F148+F151</f>
        <v>5915.47</v>
      </c>
      <c r="G154" s="87">
        <f t="shared" si="60"/>
        <v>0</v>
      </c>
      <c r="H154" s="87">
        <f t="shared" si="60"/>
        <v>0</v>
      </c>
      <c r="I154" s="87">
        <f t="shared" si="60"/>
        <v>5915.47</v>
      </c>
      <c r="J154" s="87" t="e">
        <f t="shared" si="60"/>
        <v>#VALUE!</v>
      </c>
      <c r="K154" s="87">
        <f t="shared" si="60"/>
        <v>29762.53</v>
      </c>
    </row>
    <row r="155" spans="1:11" s="59" customFormat="1" ht="15.75" customHeight="1" hidden="1">
      <c r="A155" s="95" t="s">
        <v>215</v>
      </c>
      <c r="B155" s="70"/>
      <c r="C155" s="80" t="s">
        <v>365</v>
      </c>
      <c r="D155" s="79">
        <f aca="true" t="shared" si="61" ref="D155:K155">SUM(D156:D156)</f>
        <v>0</v>
      </c>
      <c r="E155" s="79">
        <f t="shared" si="61"/>
        <v>0</v>
      </c>
      <c r="F155" s="316">
        <f>F156</f>
        <v>0</v>
      </c>
      <c r="G155" s="79">
        <f t="shared" si="61"/>
        <v>0</v>
      </c>
      <c r="H155" s="79">
        <f t="shared" si="61"/>
        <v>0</v>
      </c>
      <c r="I155" s="79">
        <f t="shared" si="61"/>
        <v>0</v>
      </c>
      <c r="J155" s="79">
        <f t="shared" si="61"/>
        <v>0</v>
      </c>
      <c r="K155" s="79">
        <f t="shared" si="61"/>
        <v>0</v>
      </c>
    </row>
    <row r="156" spans="1:11" s="59" customFormat="1" ht="15.75" customHeight="1" hidden="1">
      <c r="A156" s="89" t="s">
        <v>222</v>
      </c>
      <c r="B156" s="85" t="s">
        <v>50</v>
      </c>
      <c r="C156" s="273" t="s">
        <v>366</v>
      </c>
      <c r="D156" s="92">
        <v>0</v>
      </c>
      <c r="E156" s="92">
        <f>D156</f>
        <v>0</v>
      </c>
      <c r="F156" s="314">
        <v>0</v>
      </c>
      <c r="G156" s="62">
        <v>0</v>
      </c>
      <c r="H156" s="62">
        <v>0</v>
      </c>
      <c r="I156" s="62">
        <f>SUM(F156:H156)</f>
        <v>0</v>
      </c>
      <c r="J156" s="62">
        <f>D156-F156</f>
        <v>0</v>
      </c>
      <c r="K156" s="62">
        <f>E156-F156</f>
        <v>0</v>
      </c>
    </row>
    <row r="157" spans="1:11" s="59" customFormat="1" ht="15.75" customHeight="1" hidden="1">
      <c r="A157" s="93" t="s">
        <v>262</v>
      </c>
      <c r="B157" s="85"/>
      <c r="C157" s="64" t="s">
        <v>261</v>
      </c>
      <c r="D157" s="65">
        <f>D155</f>
        <v>0</v>
      </c>
      <c r="E157" s="65">
        <f>D157</f>
        <v>0</v>
      </c>
      <c r="F157" s="318">
        <f>F155</f>
        <v>0</v>
      </c>
      <c r="G157" s="87">
        <f>G155</f>
        <v>0</v>
      </c>
      <c r="H157" s="87">
        <f>H155</f>
        <v>0</v>
      </c>
      <c r="I157" s="87">
        <f>I155</f>
        <v>0</v>
      </c>
      <c r="J157" s="87">
        <f>D157-F157</f>
        <v>0</v>
      </c>
      <c r="K157" s="87">
        <f>E157-F157</f>
        <v>0</v>
      </c>
    </row>
    <row r="158" spans="1:11" s="21" customFormat="1" ht="30.75" customHeight="1">
      <c r="A158" s="232" t="s">
        <v>474</v>
      </c>
      <c r="B158" s="218"/>
      <c r="C158" s="210" t="s">
        <v>228</v>
      </c>
      <c r="D158" s="211">
        <f>D154</f>
        <v>35678</v>
      </c>
      <c r="E158" s="211">
        <f>E154</f>
        <v>35678</v>
      </c>
      <c r="F158" s="313">
        <f>F148+F151</f>
        <v>5915.47</v>
      </c>
      <c r="G158" s="211">
        <f>G154</f>
        <v>0</v>
      </c>
      <c r="H158" s="211">
        <f>H154</f>
        <v>0</v>
      </c>
      <c r="I158" s="211">
        <f>I154</f>
        <v>5915.47</v>
      </c>
      <c r="J158" s="211" t="e">
        <f>J154</f>
        <v>#VALUE!</v>
      </c>
      <c r="K158" s="211">
        <f>K154</f>
        <v>29762.53</v>
      </c>
    </row>
    <row r="159" spans="1:11" s="59" customFormat="1" ht="15.75" customHeight="1" hidden="1">
      <c r="A159" s="95" t="s">
        <v>216</v>
      </c>
      <c r="B159" s="70"/>
      <c r="C159" s="80" t="s">
        <v>380</v>
      </c>
      <c r="D159" s="79">
        <f>SUM(D160:D160)</f>
        <v>54800</v>
      </c>
      <c r="E159" s="79">
        <f aca="true" t="shared" si="62" ref="E159:K159">SUM(E160:E160)</f>
        <v>54800</v>
      </c>
      <c r="F159" s="316">
        <f>F160</f>
        <v>9117.86</v>
      </c>
      <c r="G159" s="79">
        <f t="shared" si="62"/>
        <v>0</v>
      </c>
      <c r="H159" s="79">
        <f t="shared" si="62"/>
        <v>0</v>
      </c>
      <c r="I159" s="79">
        <f t="shared" si="62"/>
        <v>9117.86</v>
      </c>
      <c r="J159" s="79">
        <f t="shared" si="62"/>
        <v>45682.14</v>
      </c>
      <c r="K159" s="79">
        <f t="shared" si="62"/>
        <v>45682.14</v>
      </c>
    </row>
    <row r="160" spans="1:11" s="21" customFormat="1" ht="33" customHeight="1">
      <c r="A160" s="82" t="s">
        <v>192</v>
      </c>
      <c r="B160" s="61" t="s">
        <v>50</v>
      </c>
      <c r="C160" s="273" t="s">
        <v>548</v>
      </c>
      <c r="D160" s="92">
        <v>54800</v>
      </c>
      <c r="E160" s="92">
        <f>D160</f>
        <v>54800</v>
      </c>
      <c r="F160" s="314">
        <f>4558.93+4558.93</f>
        <v>9117.86</v>
      </c>
      <c r="G160" s="62">
        <v>0</v>
      </c>
      <c r="H160" s="62">
        <v>0</v>
      </c>
      <c r="I160" s="62">
        <f>SUM(F160:H160)</f>
        <v>9117.86</v>
      </c>
      <c r="J160" s="62">
        <f>D160-F160</f>
        <v>45682.14</v>
      </c>
      <c r="K160" s="62">
        <f>E160-F160</f>
        <v>45682.14</v>
      </c>
    </row>
    <row r="161" spans="1:11" s="21" customFormat="1" ht="16.5" customHeight="1" hidden="1">
      <c r="A161" s="93" t="s">
        <v>104</v>
      </c>
      <c r="B161" s="63"/>
      <c r="C161" s="64" t="s">
        <v>92</v>
      </c>
      <c r="D161" s="65">
        <f aca="true" t="shared" si="63" ref="D161:K161">D160</f>
        <v>54800</v>
      </c>
      <c r="E161" s="65">
        <f t="shared" si="63"/>
        <v>54800</v>
      </c>
      <c r="F161" s="313">
        <f>F159</f>
        <v>9117.86</v>
      </c>
      <c r="G161" s="65">
        <f t="shared" si="63"/>
        <v>0</v>
      </c>
      <c r="H161" s="65">
        <f t="shared" si="63"/>
        <v>0</v>
      </c>
      <c r="I161" s="65">
        <f t="shared" si="63"/>
        <v>9117.86</v>
      </c>
      <c r="J161" s="65">
        <f t="shared" si="63"/>
        <v>45682.14</v>
      </c>
      <c r="K161" s="65">
        <f t="shared" si="63"/>
        <v>45682.14</v>
      </c>
    </row>
    <row r="162" spans="1:11" s="59" customFormat="1" ht="17.25" customHeight="1" hidden="1">
      <c r="A162" s="95" t="s">
        <v>134</v>
      </c>
      <c r="B162" s="70"/>
      <c r="C162" s="80" t="s">
        <v>138</v>
      </c>
      <c r="D162" s="79">
        <f>SUM(D163:D163)</f>
        <v>0</v>
      </c>
      <c r="E162" s="79">
        <f aca="true" t="shared" si="64" ref="E162:K162">SUM(E163:E163)</f>
        <v>0</v>
      </c>
      <c r="F162" s="316">
        <f t="shared" si="64"/>
        <v>0</v>
      </c>
      <c r="G162" s="79">
        <f t="shared" si="64"/>
        <v>0</v>
      </c>
      <c r="H162" s="79">
        <f t="shared" si="64"/>
        <v>0</v>
      </c>
      <c r="I162" s="79">
        <f t="shared" si="64"/>
        <v>0</v>
      </c>
      <c r="J162" s="79">
        <f t="shared" si="64"/>
        <v>0</v>
      </c>
      <c r="K162" s="79">
        <f t="shared" si="64"/>
        <v>0</v>
      </c>
    </row>
    <row r="163" spans="1:11" s="21" customFormat="1" ht="19.5" customHeight="1" hidden="1">
      <c r="A163" s="60" t="s">
        <v>135</v>
      </c>
      <c r="B163" s="61" t="s">
        <v>50</v>
      </c>
      <c r="C163" s="273" t="s">
        <v>139</v>
      </c>
      <c r="D163" s="92"/>
      <c r="E163" s="92">
        <f>D163</f>
        <v>0</v>
      </c>
      <c r="F163" s="314"/>
      <c r="G163" s="62">
        <v>0</v>
      </c>
      <c r="H163" s="62">
        <v>0</v>
      </c>
      <c r="I163" s="62">
        <f>SUM(F163:H163)</f>
        <v>0</v>
      </c>
      <c r="J163" s="62">
        <f>D163-F163</f>
        <v>0</v>
      </c>
      <c r="K163" s="62">
        <f>E163-F163</f>
        <v>0</v>
      </c>
    </row>
    <row r="164" spans="1:11" s="21" customFormat="1" ht="19.5" customHeight="1" hidden="1">
      <c r="A164" s="93" t="s">
        <v>147</v>
      </c>
      <c r="B164" s="63"/>
      <c r="C164" s="64" t="s">
        <v>136</v>
      </c>
      <c r="D164" s="65">
        <f aca="true" t="shared" si="65" ref="D164:K164">D163</f>
        <v>0</v>
      </c>
      <c r="E164" s="65">
        <f t="shared" si="65"/>
        <v>0</v>
      </c>
      <c r="F164" s="313">
        <f t="shared" si="65"/>
        <v>0</v>
      </c>
      <c r="G164" s="65">
        <f t="shared" si="65"/>
        <v>0</v>
      </c>
      <c r="H164" s="65">
        <f t="shared" si="65"/>
        <v>0</v>
      </c>
      <c r="I164" s="65">
        <f t="shared" si="65"/>
        <v>0</v>
      </c>
      <c r="J164" s="65">
        <f t="shared" si="65"/>
        <v>0</v>
      </c>
      <c r="K164" s="65">
        <f t="shared" si="65"/>
        <v>0</v>
      </c>
    </row>
    <row r="165" spans="1:11" s="59" customFormat="1" ht="66.75" customHeight="1" hidden="1">
      <c r="A165" s="96" t="s">
        <v>118</v>
      </c>
      <c r="B165" s="70"/>
      <c r="C165" s="80" t="s">
        <v>119</v>
      </c>
      <c r="D165" s="79">
        <f>SUM(D166:D166)</f>
        <v>0</v>
      </c>
      <c r="E165" s="79">
        <f aca="true" t="shared" si="66" ref="E165:K165">SUM(E166:E166)</f>
        <v>0</v>
      </c>
      <c r="F165" s="316">
        <f t="shared" si="66"/>
        <v>0</v>
      </c>
      <c r="G165" s="79">
        <f t="shared" si="66"/>
        <v>0</v>
      </c>
      <c r="H165" s="79">
        <f t="shared" si="66"/>
        <v>0</v>
      </c>
      <c r="I165" s="79">
        <f t="shared" si="66"/>
        <v>0</v>
      </c>
      <c r="J165" s="79">
        <f t="shared" si="66"/>
        <v>0</v>
      </c>
      <c r="K165" s="79">
        <f t="shared" si="66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129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aca="true" t="shared" si="67" ref="J166:J177">D166-F166</f>
        <v>0</v>
      </c>
      <c r="K166" s="62">
        <f>E166-F166</f>
        <v>0</v>
      </c>
    </row>
    <row r="167" spans="1:11" s="59" customFormat="1" ht="84" customHeight="1" hidden="1">
      <c r="A167" s="96" t="s">
        <v>120</v>
      </c>
      <c r="B167" s="70"/>
      <c r="C167" s="84" t="s">
        <v>121</v>
      </c>
      <c r="D167" s="79">
        <f>SUM(D168:D168)</f>
        <v>0</v>
      </c>
      <c r="E167" s="79">
        <f aca="true" t="shared" si="68" ref="E167:K167">SUM(E168:E168)</f>
        <v>0</v>
      </c>
      <c r="F167" s="316">
        <f t="shared" si="68"/>
        <v>0</v>
      </c>
      <c r="G167" s="79">
        <f t="shared" si="68"/>
        <v>0</v>
      </c>
      <c r="H167" s="79">
        <f t="shared" si="68"/>
        <v>0</v>
      </c>
      <c r="I167" s="79">
        <f t="shared" si="68"/>
        <v>0</v>
      </c>
      <c r="J167" s="79">
        <f t="shared" si="68"/>
        <v>0</v>
      </c>
      <c r="K167" s="79">
        <f t="shared" si="68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130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7"/>
        <v>0</v>
      </c>
      <c r="K168" s="62">
        <f>E168-F168</f>
        <v>0</v>
      </c>
    </row>
    <row r="169" spans="1:11" s="59" customFormat="1" ht="58.5" customHeight="1" hidden="1">
      <c r="A169" s="96" t="s">
        <v>122</v>
      </c>
      <c r="B169" s="70"/>
      <c r="C169" s="84" t="s">
        <v>123</v>
      </c>
      <c r="D169" s="79">
        <f>SUM(D170:D170)</f>
        <v>0</v>
      </c>
      <c r="E169" s="79">
        <f aca="true" t="shared" si="69" ref="E169:K169">SUM(E170:E170)</f>
        <v>0</v>
      </c>
      <c r="F169" s="316">
        <f t="shared" si="69"/>
        <v>0</v>
      </c>
      <c r="G169" s="79">
        <f t="shared" si="69"/>
        <v>0</v>
      </c>
      <c r="H169" s="79">
        <f t="shared" si="69"/>
        <v>0</v>
      </c>
      <c r="I169" s="79">
        <f t="shared" si="69"/>
        <v>0</v>
      </c>
      <c r="J169" s="79">
        <f t="shared" si="69"/>
        <v>0</v>
      </c>
      <c r="K169" s="79">
        <f t="shared" si="69"/>
        <v>0</v>
      </c>
    </row>
    <row r="170" spans="1:11" s="21" customFormat="1" ht="30" customHeight="1" hidden="1">
      <c r="A170" s="60" t="s">
        <v>60</v>
      </c>
      <c r="B170" s="61" t="s">
        <v>50</v>
      </c>
      <c r="C170" s="274" t="s">
        <v>131</v>
      </c>
      <c r="D170" s="92"/>
      <c r="E170" s="92">
        <f>D170</f>
        <v>0</v>
      </c>
      <c r="F170" s="314"/>
      <c r="G170" s="62">
        <v>0</v>
      </c>
      <c r="H170" s="62">
        <v>0</v>
      </c>
      <c r="I170" s="62">
        <f>SUM(F170:H170)</f>
        <v>0</v>
      </c>
      <c r="J170" s="62">
        <f t="shared" si="67"/>
        <v>0</v>
      </c>
      <c r="K170" s="62">
        <f>E170-F170</f>
        <v>0</v>
      </c>
    </row>
    <row r="171" spans="1:11" s="21" customFormat="1" ht="24.75" customHeight="1">
      <c r="A171" s="219" t="s">
        <v>271</v>
      </c>
      <c r="B171" s="219"/>
      <c r="C171" s="213" t="s">
        <v>263</v>
      </c>
      <c r="D171" s="214">
        <f>D161</f>
        <v>54800</v>
      </c>
      <c r="E171" s="214">
        <f>D171</f>
        <v>54800</v>
      </c>
      <c r="F171" s="313">
        <f>F161</f>
        <v>9117.86</v>
      </c>
      <c r="G171" s="214">
        <f>G161</f>
        <v>0</v>
      </c>
      <c r="H171" s="214">
        <f>H161</f>
        <v>0</v>
      </c>
      <c r="I171" s="214">
        <f>I161</f>
        <v>9117.86</v>
      </c>
      <c r="J171" s="214">
        <f>D171-F171</f>
        <v>45682.14</v>
      </c>
      <c r="K171" s="214">
        <f>E171-F171</f>
        <v>45682.14</v>
      </c>
    </row>
    <row r="172" spans="1:11" s="59" customFormat="1" ht="27" customHeight="1">
      <c r="A172" s="95" t="s">
        <v>279</v>
      </c>
      <c r="B172" s="61"/>
      <c r="C172" s="80" t="s">
        <v>541</v>
      </c>
      <c r="D172" s="79">
        <f>SUM(D173:D173)</f>
        <v>2000</v>
      </c>
      <c r="E172" s="79">
        <f aca="true" t="shared" si="70" ref="E172:K172">SUM(E173:E173)</f>
        <v>2000</v>
      </c>
      <c r="F172" s="316">
        <f>F173</f>
        <v>0</v>
      </c>
      <c r="G172" s="79">
        <f t="shared" si="70"/>
        <v>0</v>
      </c>
      <c r="H172" s="79">
        <f t="shared" si="70"/>
        <v>0</v>
      </c>
      <c r="I172" s="79">
        <f t="shared" si="70"/>
        <v>0</v>
      </c>
      <c r="J172" s="79">
        <f t="shared" si="70"/>
        <v>2000</v>
      </c>
      <c r="K172" s="79">
        <f t="shared" si="70"/>
        <v>2000</v>
      </c>
    </row>
    <row r="173" spans="1:11" s="21" customFormat="1" ht="27" customHeight="1">
      <c r="A173" s="89" t="s">
        <v>222</v>
      </c>
      <c r="B173" s="61" t="s">
        <v>50</v>
      </c>
      <c r="C173" s="273" t="s">
        <v>542</v>
      </c>
      <c r="D173" s="92">
        <v>2000</v>
      </c>
      <c r="E173" s="92">
        <f>D173</f>
        <v>2000</v>
      </c>
      <c r="F173" s="314">
        <v>0</v>
      </c>
      <c r="G173" s="62">
        <v>0</v>
      </c>
      <c r="H173" s="62">
        <v>0</v>
      </c>
      <c r="I173" s="62">
        <f>SUM(F173:H173)</f>
        <v>0</v>
      </c>
      <c r="J173" s="62">
        <f t="shared" si="67"/>
        <v>2000</v>
      </c>
      <c r="K173" s="62">
        <f>E173-F173</f>
        <v>2000</v>
      </c>
    </row>
    <row r="174" spans="1:11" s="59" customFormat="1" ht="40.5" customHeight="1" hidden="1">
      <c r="A174" s="96" t="s">
        <v>124</v>
      </c>
      <c r="B174" s="70"/>
      <c r="C174" s="80" t="s">
        <v>125</v>
      </c>
      <c r="D174" s="79">
        <f aca="true" t="shared" si="71" ref="D174:K174">SUM(D175:D175)</f>
        <v>0</v>
      </c>
      <c r="E174" s="79">
        <f t="shared" si="71"/>
        <v>0</v>
      </c>
      <c r="F174" s="316">
        <f t="shared" si="71"/>
        <v>0</v>
      </c>
      <c r="G174" s="79">
        <f t="shared" si="71"/>
        <v>0</v>
      </c>
      <c r="H174" s="79">
        <f t="shared" si="71"/>
        <v>0</v>
      </c>
      <c r="I174" s="79">
        <f t="shared" si="71"/>
        <v>0</v>
      </c>
      <c r="J174" s="79">
        <f t="shared" si="71"/>
        <v>0</v>
      </c>
      <c r="K174" s="79">
        <f t="shared" si="71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132</v>
      </c>
      <c r="D175" s="92"/>
      <c r="E175" s="92">
        <f>D175</f>
        <v>0</v>
      </c>
      <c r="F175" s="314"/>
      <c r="G175" s="62">
        <v>0</v>
      </c>
      <c r="H175" s="62">
        <v>0</v>
      </c>
      <c r="I175" s="62">
        <f>SUM(F175:H175)</f>
        <v>0</v>
      </c>
      <c r="J175" s="62">
        <f t="shared" si="67"/>
        <v>0</v>
      </c>
      <c r="K175" s="62">
        <f>E175-F175</f>
        <v>0</v>
      </c>
    </row>
    <row r="176" spans="1:11" s="59" customFormat="1" ht="58.5" customHeight="1" hidden="1">
      <c r="A176" s="96" t="s">
        <v>126</v>
      </c>
      <c r="B176" s="70"/>
      <c r="C176" s="80" t="s">
        <v>127</v>
      </c>
      <c r="D176" s="79">
        <f>SUM(D177:D177)</f>
        <v>0</v>
      </c>
      <c r="E176" s="79">
        <f aca="true" t="shared" si="72" ref="E176:K176">SUM(E177:E177)</f>
        <v>0</v>
      </c>
      <c r="F176" s="316">
        <f t="shared" si="72"/>
        <v>0</v>
      </c>
      <c r="G176" s="79">
        <f t="shared" si="72"/>
        <v>0</v>
      </c>
      <c r="H176" s="79">
        <f t="shared" si="72"/>
        <v>0</v>
      </c>
      <c r="I176" s="79">
        <f t="shared" si="72"/>
        <v>0</v>
      </c>
      <c r="J176" s="79">
        <f t="shared" si="72"/>
        <v>0</v>
      </c>
      <c r="K176" s="79">
        <f t="shared" si="72"/>
        <v>0</v>
      </c>
    </row>
    <row r="177" spans="1:11" s="21" customFormat="1" ht="30" customHeight="1" hidden="1">
      <c r="A177" s="60" t="s">
        <v>60</v>
      </c>
      <c r="B177" s="61" t="s">
        <v>50</v>
      </c>
      <c r="C177" s="273" t="s">
        <v>133</v>
      </c>
      <c r="D177" s="92"/>
      <c r="E177" s="92">
        <f>D177</f>
        <v>0</v>
      </c>
      <c r="F177" s="314">
        <v>0</v>
      </c>
      <c r="G177" s="62">
        <v>0</v>
      </c>
      <c r="H177" s="62">
        <v>0</v>
      </c>
      <c r="I177" s="62">
        <f>SUM(F177:H177)</f>
        <v>0</v>
      </c>
      <c r="J177" s="62">
        <f t="shared" si="67"/>
        <v>0</v>
      </c>
      <c r="K177" s="62">
        <f>E177-F177</f>
        <v>0</v>
      </c>
    </row>
    <row r="178" spans="1:11" s="21" customFormat="1" ht="18.75" customHeight="1" hidden="1">
      <c r="A178" s="93" t="s">
        <v>223</v>
      </c>
      <c r="B178" s="63"/>
      <c r="C178" s="64" t="s">
        <v>224</v>
      </c>
      <c r="D178" s="65">
        <f>D165+D167+D169+D172+D174+D176</f>
        <v>2000</v>
      </c>
      <c r="E178" s="65">
        <f aca="true" t="shared" si="73" ref="E178:K178">E165+E167+E169++E172+E174+E176</f>
        <v>2000</v>
      </c>
      <c r="F178" s="313">
        <f>F172</f>
        <v>0</v>
      </c>
      <c r="G178" s="65">
        <f t="shared" si="73"/>
        <v>0</v>
      </c>
      <c r="H178" s="65">
        <f t="shared" si="73"/>
        <v>0</v>
      </c>
      <c r="I178" s="65">
        <f t="shared" si="73"/>
        <v>0</v>
      </c>
      <c r="J178" s="65">
        <f t="shared" si="73"/>
        <v>2000</v>
      </c>
      <c r="K178" s="65">
        <f t="shared" si="73"/>
        <v>2000</v>
      </c>
    </row>
    <row r="179" spans="1:11" s="21" customFormat="1" ht="25.5" customHeight="1">
      <c r="A179" s="219" t="s">
        <v>270</v>
      </c>
      <c r="B179" s="215"/>
      <c r="C179" s="213" t="s">
        <v>264</v>
      </c>
      <c r="D179" s="214">
        <f>D178</f>
        <v>2000</v>
      </c>
      <c r="E179" s="214">
        <f>D179</f>
        <v>2000</v>
      </c>
      <c r="F179" s="313">
        <f>F178</f>
        <v>0</v>
      </c>
      <c r="G179" s="214">
        <f>G178</f>
        <v>0</v>
      </c>
      <c r="H179" s="214">
        <f>H178</f>
        <v>0</v>
      </c>
      <c r="I179" s="214">
        <f>I178</f>
        <v>0</v>
      </c>
      <c r="J179" s="214">
        <f>D179-F179</f>
        <v>2000</v>
      </c>
      <c r="K179" s="214">
        <f>E179-F179</f>
        <v>2000</v>
      </c>
    </row>
    <row r="180" spans="1:11" s="21" customFormat="1" ht="3.75" customHeight="1">
      <c r="A180" s="83"/>
      <c r="B180" s="63"/>
      <c r="C180" s="64"/>
      <c r="D180" s="65"/>
      <c r="E180" s="65"/>
      <c r="F180" s="313"/>
      <c r="G180" s="65"/>
      <c r="H180" s="65"/>
      <c r="I180" s="65"/>
      <c r="J180" s="65"/>
      <c r="K180" s="65"/>
    </row>
    <row r="181" spans="1:11" s="21" customFormat="1" ht="30" customHeight="1">
      <c r="A181" s="60" t="s">
        <v>61</v>
      </c>
      <c r="B181" s="61" t="s">
        <v>62</v>
      </c>
      <c r="C181" s="273" t="s">
        <v>63</v>
      </c>
      <c r="D181" s="92">
        <f>'1. Доходы бюджета (1.12)'!D16-'2. Расходы бюджета (1.12)'!D7</f>
        <v>0</v>
      </c>
      <c r="E181" s="92">
        <f>'1. Доходы бюджета (1.12)'!D16-'2. Расходы бюджета (1.12)'!E7</f>
        <v>0</v>
      </c>
      <c r="F181" s="314">
        <f>'1. Доходы бюджета (1.12)'!E16-'2. Расходы бюджета (1.12)'!F7</f>
        <v>-20534.49999999997</v>
      </c>
      <c r="G181" s="62" t="e">
        <f>'1. Доходы бюджета (1.12)'!F16-'2. Расходы бюджета (1.12)'!G7</f>
        <v>#REF!</v>
      </c>
      <c r="H181" s="62" t="e">
        <f>'1. Доходы бюджета (1.12)'!G16-'2. Расходы бюджета (1.12)'!H7</f>
        <v>#REF!</v>
      </c>
      <c r="I181" s="62" t="e">
        <f>'1. Доходы бюджета (1.12)'!H16-'2. Расходы бюджета (1.12)'!I7</f>
        <v>#REF!</v>
      </c>
      <c r="J181" s="62">
        <f>D181-F181</f>
        <v>20534.49999999997</v>
      </c>
      <c r="K181" s="62">
        <f>E181-F181</f>
        <v>20534.49999999997</v>
      </c>
    </row>
    <row r="182" spans="3:9" s="20" customFormat="1" ht="6" customHeight="1">
      <c r="C182" s="29"/>
      <c r="D182" s="29"/>
      <c r="E182" s="29"/>
      <c r="F182" s="29"/>
      <c r="G182" s="29"/>
      <c r="H182" s="30"/>
      <c r="I182" s="29"/>
    </row>
  </sheetData>
  <sheetProtection/>
  <mergeCells count="13">
    <mergeCell ref="G4:G5"/>
    <mergeCell ref="H4:H5"/>
    <mergeCell ref="E4:E5"/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tabSelected="1" zoomScalePageLayoutView="0" workbookViewId="0" topLeftCell="A1">
      <selection activeCell="R13" sqref="R13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8" t="s">
        <v>23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01.03.2023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55" t="s">
        <v>4</v>
      </c>
      <c r="B6" s="357" t="s">
        <v>5</v>
      </c>
      <c r="C6" s="357" t="s">
        <v>28</v>
      </c>
      <c r="D6" s="358" t="s">
        <v>29</v>
      </c>
      <c r="E6" s="358"/>
      <c r="F6" s="358"/>
      <c r="G6" s="358"/>
      <c r="H6" s="358"/>
      <c r="I6" s="358"/>
      <c r="J6" s="358"/>
      <c r="K6" s="358"/>
      <c r="L6" s="351" t="s">
        <v>15</v>
      </c>
      <c r="M6" s="351"/>
      <c r="N6" s="351"/>
      <c r="O6" s="351"/>
      <c r="P6" s="351"/>
      <c r="Q6" s="351"/>
      <c r="R6" s="351"/>
      <c r="S6" s="351"/>
    </row>
    <row r="7" spans="1:19" s="14" customFormat="1" ht="107.25" customHeight="1">
      <c r="A7" s="356"/>
      <c r="B7" s="335"/>
      <c r="C7" s="335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0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20534.49999999997</v>
      </c>
      <c r="M9" s="56">
        <f aca="true" t="shared" si="1" ref="M9:R9">M12</f>
        <v>20534.49999999997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20534.49999999997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403</v>
      </c>
      <c r="D12" s="56">
        <f>-'2. Расходы бюджета (1.12)'!D181</f>
        <v>0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20534.49999999997</v>
      </c>
      <c r="M12" s="56">
        <f t="shared" si="2"/>
        <v>20534.49999999997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20534.49999999997</v>
      </c>
      <c r="S12" s="56">
        <v>0</v>
      </c>
    </row>
    <row r="13" spans="1:19" s="20" customFormat="1" ht="36.75">
      <c r="A13" s="53" t="s">
        <v>407</v>
      </c>
      <c r="B13" s="54" t="s">
        <v>73</v>
      </c>
      <c r="C13" s="55" t="s">
        <v>405</v>
      </c>
      <c r="D13" s="56">
        <f>D14</f>
        <v>-3586281.41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-262037.9</v>
      </c>
      <c r="M13" s="56">
        <f t="shared" si="3"/>
        <v>-262037.9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-262037.9</v>
      </c>
      <c r="S13" s="56">
        <v>0</v>
      </c>
    </row>
    <row r="14" spans="1:19" s="21" customFormat="1" ht="34.5" customHeight="1">
      <c r="A14" s="353" t="s">
        <v>406</v>
      </c>
      <c r="B14" s="354"/>
      <c r="C14" s="57" t="s">
        <v>404</v>
      </c>
      <c r="D14" s="239">
        <f>-'1. Доходы бюджета (1.12)'!D16</f>
        <v>-3586281.41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-262037.9</v>
      </c>
      <c r="M14" s="56">
        <f>-'1. Доходы бюджета (1.12)'!E16</f>
        <v>-262037.9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-262037.9</v>
      </c>
      <c r="S14" s="58">
        <v>0</v>
      </c>
    </row>
    <row r="15" spans="1:19" s="20" customFormat="1" ht="36.75">
      <c r="A15" s="53" t="s">
        <v>408</v>
      </c>
      <c r="B15" s="54" t="s">
        <v>74</v>
      </c>
      <c r="C15" s="55" t="s">
        <v>411</v>
      </c>
      <c r="D15" s="240">
        <f>D16</f>
        <v>3586281.41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282572.39999999997</v>
      </c>
      <c r="M15" s="56">
        <f aca="true" t="shared" si="5" ref="M15:R15">M16</f>
        <v>282572.39999999997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282572.39999999997</v>
      </c>
      <c r="S15" s="56">
        <v>0</v>
      </c>
    </row>
    <row r="16" spans="1:19" s="21" customFormat="1" ht="34.5" customHeight="1">
      <c r="A16" s="353" t="s">
        <v>409</v>
      </c>
      <c r="B16" s="354"/>
      <c r="C16" s="57" t="s">
        <v>410</v>
      </c>
      <c r="D16" s="58">
        <f>'2. Расходы бюджета (1.12)'!D7</f>
        <v>3586281.41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282572.39999999997</v>
      </c>
      <c r="M16" s="58">
        <f>'2. Расходы бюджета (1.12)'!F7</f>
        <v>282572.39999999997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282572.39999999997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2" t="s">
        <v>554</v>
      </c>
      <c r="B22" s="352"/>
      <c r="C22" s="352"/>
      <c r="D22" s="352"/>
      <c r="E22" s="352"/>
      <c r="F22" s="352"/>
      <c r="G22" s="352"/>
      <c r="H22" s="352"/>
      <c r="I22" s="352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A2:S2"/>
    <mergeCell ref="A6:A7"/>
    <mergeCell ref="B6:B7"/>
    <mergeCell ref="C6:C7"/>
    <mergeCell ref="D6:K6"/>
    <mergeCell ref="L6:S6"/>
    <mergeCell ref="G22:I22"/>
    <mergeCell ref="A14:B14"/>
    <mergeCell ref="A16:B16"/>
    <mergeCell ref="A22:C22"/>
    <mergeCell ref="D22:F22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1">
      <selection activeCell="AV15" sqref="AV15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5.375" style="105" customWidth="1"/>
    <col min="7" max="7" width="9.87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9.6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3.00390625" style="105" customWidth="1"/>
    <col min="49" max="49" width="11.875" style="0" bestFit="1" customWidth="1"/>
  </cols>
  <sheetData>
    <row r="1" spans="1:44" ht="15.75" customHeight="1">
      <c r="A1" s="103"/>
      <c r="B1" s="389"/>
      <c r="C1" s="104"/>
      <c r="D1" s="104"/>
      <c r="E1" s="104"/>
      <c r="F1" s="104"/>
      <c r="G1" s="104"/>
      <c r="H1" s="104"/>
      <c r="I1" s="104"/>
      <c r="J1" s="104"/>
      <c r="K1" s="390" t="s">
        <v>283</v>
      </c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Q1" s="106"/>
      <c r="AR1" s="106"/>
    </row>
    <row r="2" spans="1:44" ht="46.5" customHeight="1" thickBot="1">
      <c r="A2" s="103"/>
      <c r="B2" s="368"/>
      <c r="C2" s="104"/>
      <c r="D2" s="104"/>
      <c r="E2" s="104"/>
      <c r="F2" s="104"/>
      <c r="G2" s="104"/>
      <c r="H2" s="104"/>
      <c r="I2" s="104"/>
      <c r="J2" s="104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M2" s="104"/>
      <c r="AN2" s="104"/>
      <c r="AO2" s="104"/>
      <c r="AP2" s="104"/>
      <c r="AQ2" s="392" t="s">
        <v>0</v>
      </c>
      <c r="AR2" s="392"/>
    </row>
    <row r="3" spans="1:44" ht="15.75">
      <c r="A3" s="108"/>
      <c r="B3" s="36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93"/>
      <c r="X3" s="393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94" t="s">
        <v>284</v>
      </c>
      <c r="AR3" s="395"/>
    </row>
    <row r="4" spans="1:44" ht="15">
      <c r="A4" s="103"/>
      <c r="B4" s="107"/>
      <c r="C4" s="105"/>
      <c r="D4" s="105"/>
      <c r="X4" s="111" t="str">
        <f>'1. Доходы бюджета (1.12)'!C4</f>
        <v>на 01.03.2023 года</v>
      </c>
      <c r="AN4" s="110" t="s">
        <v>2</v>
      </c>
      <c r="AO4" s="110"/>
      <c r="AP4" s="110"/>
      <c r="AQ4" s="387" t="str">
        <f>X4</f>
        <v>на 01.03.2023 года</v>
      </c>
      <c r="AR4" s="388"/>
    </row>
    <row r="5" spans="1:44" ht="15">
      <c r="A5" s="103" t="s">
        <v>285</v>
      </c>
      <c r="B5" s="112"/>
      <c r="C5" s="109"/>
      <c r="D5" s="109"/>
      <c r="E5" s="204"/>
      <c r="F5" s="204"/>
      <c r="G5" s="204" t="s">
        <v>436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83" t="s">
        <v>286</v>
      </c>
      <c r="AA5" s="383"/>
      <c r="AB5" s="383"/>
      <c r="AC5" s="106"/>
      <c r="AD5" s="106"/>
      <c r="AE5" s="106"/>
      <c r="AF5" s="106"/>
      <c r="AG5" s="106"/>
      <c r="AN5" s="110" t="s">
        <v>286</v>
      </c>
      <c r="AO5" s="110"/>
      <c r="AP5" s="110"/>
      <c r="AQ5" s="387">
        <v>78612856</v>
      </c>
      <c r="AR5" s="388"/>
    </row>
    <row r="6" spans="1:44" ht="15">
      <c r="A6" s="103" t="s">
        <v>287</v>
      </c>
      <c r="B6" s="112"/>
      <c r="C6" s="109"/>
      <c r="D6" s="109"/>
      <c r="E6" s="204" t="s">
        <v>437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83" t="s">
        <v>288</v>
      </c>
      <c r="AB6" s="383"/>
      <c r="AC6" s="113"/>
      <c r="AD6" s="113"/>
      <c r="AE6" s="113"/>
      <c r="AF6" s="113"/>
      <c r="AG6" s="113"/>
      <c r="AN6" s="110" t="s">
        <v>289</v>
      </c>
      <c r="AO6" s="110"/>
      <c r="AP6" s="110"/>
      <c r="AQ6" s="387">
        <v>15626432</v>
      </c>
      <c r="AR6" s="388"/>
    </row>
    <row r="7" spans="1:44" ht="12.75">
      <c r="A7" s="103" t="s">
        <v>290</v>
      </c>
      <c r="B7" s="112"/>
      <c r="C7" s="105"/>
      <c r="D7" s="105"/>
      <c r="T7" s="107"/>
      <c r="U7" s="107"/>
      <c r="V7" s="107"/>
      <c r="W7" s="382"/>
      <c r="X7" s="382"/>
      <c r="Y7" s="109"/>
      <c r="Z7" s="109"/>
      <c r="AA7" s="109"/>
      <c r="AB7" s="109"/>
      <c r="AC7" s="109"/>
      <c r="AN7" s="110"/>
      <c r="AO7" s="110"/>
      <c r="AP7" s="110"/>
      <c r="AQ7" s="387"/>
      <c r="AR7" s="388"/>
    </row>
    <row r="8" spans="1:44" ht="13.5" thickBot="1">
      <c r="A8" s="103" t="s">
        <v>291</v>
      </c>
      <c r="B8" s="112"/>
      <c r="C8" s="105"/>
      <c r="D8" s="105"/>
      <c r="T8" s="107"/>
      <c r="U8" s="107"/>
      <c r="V8" s="107"/>
      <c r="W8" s="382"/>
      <c r="X8" s="382"/>
      <c r="Y8" s="109"/>
      <c r="Z8" s="383" t="s">
        <v>3</v>
      </c>
      <c r="AA8" s="383"/>
      <c r="AB8" s="383"/>
      <c r="AC8" s="109"/>
      <c r="AN8" s="110" t="s">
        <v>3</v>
      </c>
      <c r="AO8" s="110"/>
      <c r="AP8" s="110"/>
      <c r="AQ8" s="378">
        <v>383</v>
      </c>
      <c r="AR8" s="379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84" t="s">
        <v>292</v>
      </c>
      <c r="B10" s="359" t="s">
        <v>5</v>
      </c>
      <c r="C10" s="362" t="s">
        <v>293</v>
      </c>
      <c r="D10" s="362"/>
      <c r="E10" s="364" t="s">
        <v>294</v>
      </c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6"/>
      <c r="Y10" s="364" t="s">
        <v>15</v>
      </c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6"/>
    </row>
    <row r="11" spans="1:44" ht="12.75">
      <c r="A11" s="385"/>
      <c r="B11" s="360"/>
      <c r="C11" s="363"/>
      <c r="D11" s="363"/>
      <c r="E11" s="371" t="s">
        <v>295</v>
      </c>
      <c r="F11" s="380"/>
      <c r="G11" s="371" t="s">
        <v>296</v>
      </c>
      <c r="H11" s="381"/>
      <c r="I11" s="371" t="s">
        <v>78</v>
      </c>
      <c r="J11" s="372"/>
      <c r="K11" s="373" t="s">
        <v>297</v>
      </c>
      <c r="L11" s="374"/>
      <c r="M11" s="373" t="s">
        <v>80</v>
      </c>
      <c r="N11" s="374"/>
      <c r="O11" s="373" t="s">
        <v>298</v>
      </c>
      <c r="P11" s="374"/>
      <c r="Q11" s="373" t="s">
        <v>299</v>
      </c>
      <c r="R11" s="377"/>
      <c r="S11" s="373" t="s">
        <v>81</v>
      </c>
      <c r="T11" s="374"/>
      <c r="U11" s="373" t="s">
        <v>300</v>
      </c>
      <c r="V11" s="374"/>
      <c r="W11" s="373" t="s">
        <v>301</v>
      </c>
      <c r="X11" s="374"/>
      <c r="Y11" s="371" t="s">
        <v>295</v>
      </c>
      <c r="Z11" s="380"/>
      <c r="AA11" s="371" t="s">
        <v>296</v>
      </c>
      <c r="AB11" s="381"/>
      <c r="AC11" s="371" t="s">
        <v>78</v>
      </c>
      <c r="AD11" s="372"/>
      <c r="AE11" s="373" t="s">
        <v>297</v>
      </c>
      <c r="AF11" s="374"/>
      <c r="AG11" s="373" t="s">
        <v>80</v>
      </c>
      <c r="AH11" s="374"/>
      <c r="AI11" s="373" t="s">
        <v>298</v>
      </c>
      <c r="AJ11" s="374"/>
      <c r="AK11" s="373" t="s">
        <v>299</v>
      </c>
      <c r="AL11" s="377"/>
      <c r="AM11" s="373" t="s">
        <v>81</v>
      </c>
      <c r="AN11" s="374"/>
      <c r="AO11" s="373" t="s">
        <v>300</v>
      </c>
      <c r="AP11" s="374"/>
      <c r="AQ11" s="373" t="s">
        <v>301</v>
      </c>
      <c r="AR11" s="374"/>
    </row>
    <row r="12" spans="1:44" ht="113.25" customHeight="1">
      <c r="A12" s="386"/>
      <c r="B12" s="361"/>
      <c r="C12" s="117" t="s">
        <v>302</v>
      </c>
      <c r="D12" s="117" t="s">
        <v>303</v>
      </c>
      <c r="E12" s="118" t="s">
        <v>304</v>
      </c>
      <c r="F12" s="119" t="s">
        <v>305</v>
      </c>
      <c r="G12" s="118" t="s">
        <v>304</v>
      </c>
      <c r="H12" s="119" t="s">
        <v>305</v>
      </c>
      <c r="I12" s="118" t="s">
        <v>304</v>
      </c>
      <c r="J12" s="119" t="s">
        <v>305</v>
      </c>
      <c r="K12" s="118" t="s">
        <v>304</v>
      </c>
      <c r="L12" s="119" t="s">
        <v>305</v>
      </c>
      <c r="M12" s="118" t="s">
        <v>304</v>
      </c>
      <c r="N12" s="119" t="s">
        <v>305</v>
      </c>
      <c r="O12" s="118" t="s">
        <v>304</v>
      </c>
      <c r="P12" s="119" t="s">
        <v>305</v>
      </c>
      <c r="Q12" s="118" t="s">
        <v>304</v>
      </c>
      <c r="R12" s="116" t="s">
        <v>305</v>
      </c>
      <c r="S12" s="118" t="s">
        <v>304</v>
      </c>
      <c r="T12" s="119" t="s">
        <v>305</v>
      </c>
      <c r="U12" s="118" t="s">
        <v>304</v>
      </c>
      <c r="V12" s="119" t="s">
        <v>305</v>
      </c>
      <c r="W12" s="118" t="s">
        <v>304</v>
      </c>
      <c r="X12" s="119" t="s">
        <v>305</v>
      </c>
      <c r="Y12" s="118" t="s">
        <v>304</v>
      </c>
      <c r="Z12" s="119" t="s">
        <v>305</v>
      </c>
      <c r="AA12" s="118" t="s">
        <v>304</v>
      </c>
      <c r="AB12" s="119" t="s">
        <v>305</v>
      </c>
      <c r="AC12" s="118" t="s">
        <v>304</v>
      </c>
      <c r="AD12" s="119" t="s">
        <v>305</v>
      </c>
      <c r="AE12" s="118" t="s">
        <v>304</v>
      </c>
      <c r="AF12" s="119" t="s">
        <v>305</v>
      </c>
      <c r="AG12" s="118" t="s">
        <v>304</v>
      </c>
      <c r="AH12" s="119" t="s">
        <v>305</v>
      </c>
      <c r="AI12" s="118" t="s">
        <v>304</v>
      </c>
      <c r="AJ12" s="119" t="s">
        <v>305</v>
      </c>
      <c r="AK12" s="118" t="s">
        <v>304</v>
      </c>
      <c r="AL12" s="116" t="s">
        <v>305</v>
      </c>
      <c r="AM12" s="118" t="s">
        <v>304</v>
      </c>
      <c r="AN12" s="119" t="s">
        <v>305</v>
      </c>
      <c r="AO12" s="118" t="s">
        <v>304</v>
      </c>
      <c r="AP12" s="119" t="s">
        <v>305</v>
      </c>
      <c r="AQ12" s="118" t="s">
        <v>304</v>
      </c>
      <c r="AR12" s="119" t="s">
        <v>305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75" t="s">
        <v>306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6"/>
    </row>
    <row r="15" spans="1:44" ht="51">
      <c r="A15" s="122" t="s">
        <v>314</v>
      </c>
      <c r="B15" s="123" t="s">
        <v>315</v>
      </c>
      <c r="C15" s="123" t="s">
        <v>307</v>
      </c>
      <c r="D15" s="124" t="s">
        <v>308</v>
      </c>
      <c r="E15" s="125">
        <f>W15-G15</f>
        <v>1207788.96</v>
      </c>
      <c r="F15" s="126">
        <f>X15</f>
        <v>114948.95999999999</v>
      </c>
      <c r="G15" s="126"/>
      <c r="H15" s="127"/>
      <c r="I15" s="127" t="s">
        <v>309</v>
      </c>
      <c r="J15" s="127" t="s">
        <v>309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1207788.96</v>
      </c>
      <c r="X15" s="126">
        <f>'2. Расходы бюджета (1.12)'!E81</f>
        <v>114948.95999999999</v>
      </c>
      <c r="Y15" s="126">
        <f>AQ15-AA15</f>
        <v>189961.04</v>
      </c>
      <c r="Z15" s="126">
        <f>AR15</f>
        <v>11284.98</v>
      </c>
      <c r="AA15" s="126"/>
      <c r="AB15" s="126"/>
      <c r="AC15" s="126" t="s">
        <v>309</v>
      </c>
      <c r="AD15" s="126" t="s">
        <v>309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189961.04</v>
      </c>
      <c r="AR15" s="126">
        <f>'2. Расходы бюджета (1.12)'!F69</f>
        <v>11284.98</v>
      </c>
    </row>
    <row r="16" spans="1:44" ht="18">
      <c r="A16" s="128" t="s">
        <v>310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316</v>
      </c>
      <c r="B17" s="136" t="s">
        <v>317</v>
      </c>
      <c r="C17" s="136" t="s">
        <v>307</v>
      </c>
      <c r="D17" s="136" t="s">
        <v>312</v>
      </c>
      <c r="E17" s="137">
        <f aca="true" t="shared" si="0" ref="E17:F19">W17</f>
        <v>610000</v>
      </c>
      <c r="F17" s="138">
        <f t="shared" si="0"/>
        <v>78000</v>
      </c>
      <c r="G17" s="138"/>
      <c r="H17" s="138"/>
      <c r="I17" s="138" t="s">
        <v>309</v>
      </c>
      <c r="J17" s="138" t="s">
        <v>309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610000</v>
      </c>
      <c r="X17" s="138">
        <f>'2. Расходы бюджета (1.12)'!D70+'2. Расходы бюджета (1.12)'!D71</f>
        <v>78000</v>
      </c>
      <c r="Y17" s="138">
        <f aca="true" t="shared" si="1" ref="Y17:Z19">AQ17</f>
        <v>104551.26999999999</v>
      </c>
      <c r="Z17" s="138">
        <f t="shared" si="1"/>
        <v>9322.68</v>
      </c>
      <c r="AA17" s="138"/>
      <c r="AB17" s="138"/>
      <c r="AC17" s="138" t="s">
        <v>309</v>
      </c>
      <c r="AD17" s="138" t="s">
        <v>309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104551.26999999999</v>
      </c>
      <c r="AR17" s="138">
        <f>'2. Расходы бюджета (1.12)'!F70+'2. Расходы бюджета (1.12)'!F71</f>
        <v>9322.68</v>
      </c>
    </row>
    <row r="18" spans="1:44" ht="114.75">
      <c r="A18" s="139" t="s">
        <v>318</v>
      </c>
      <c r="B18" s="140" t="s">
        <v>319</v>
      </c>
      <c r="C18" s="140" t="s">
        <v>307</v>
      </c>
      <c r="D18" s="140" t="s">
        <v>313</v>
      </c>
      <c r="E18" s="137">
        <f t="shared" si="0"/>
        <v>236900</v>
      </c>
      <c r="F18" s="138">
        <f t="shared" si="0"/>
        <v>22800</v>
      </c>
      <c r="G18" s="138"/>
      <c r="H18" s="138"/>
      <c r="I18" s="138" t="s">
        <v>309</v>
      </c>
      <c r="J18" s="138" t="s">
        <v>309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236900</v>
      </c>
      <c r="X18" s="138">
        <f>'2. Расходы бюджета (1.12)'!D73</f>
        <v>22800</v>
      </c>
      <c r="Y18" s="138">
        <f t="shared" si="1"/>
        <v>21555.350000000002</v>
      </c>
      <c r="Z18" s="138">
        <f t="shared" si="1"/>
        <v>1962.3</v>
      </c>
      <c r="AA18" s="138"/>
      <c r="AB18" s="138"/>
      <c r="AC18" s="138" t="s">
        <v>309</v>
      </c>
      <c r="AD18" s="138" t="s">
        <v>309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21555.350000000002</v>
      </c>
      <c r="AR18" s="138">
        <f>'2. Расходы бюджета (1.12)'!F73</f>
        <v>1962.3</v>
      </c>
    </row>
    <row r="19" spans="1:44" ht="127.5">
      <c r="A19" s="141" t="s">
        <v>320</v>
      </c>
      <c r="B19" s="142" t="s">
        <v>321</v>
      </c>
      <c r="C19" s="142" t="s">
        <v>307</v>
      </c>
      <c r="D19" s="142" t="s">
        <v>308</v>
      </c>
      <c r="E19" s="143">
        <f t="shared" si="0"/>
        <v>114948.95999999999</v>
      </c>
      <c r="F19" s="144">
        <f t="shared" si="0"/>
        <v>114948.95999999999</v>
      </c>
      <c r="G19" s="144"/>
      <c r="H19" s="144"/>
      <c r="I19" s="144" t="s">
        <v>309</v>
      </c>
      <c r="J19" s="144" t="s">
        <v>309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114948.95999999999</v>
      </c>
      <c r="X19" s="144">
        <f>X15</f>
        <v>114948.95999999999</v>
      </c>
      <c r="Y19" s="144">
        <f t="shared" si="1"/>
        <v>11284.98</v>
      </c>
      <c r="Z19" s="144">
        <f t="shared" si="1"/>
        <v>11284.98</v>
      </c>
      <c r="AA19" s="144"/>
      <c r="AB19" s="144"/>
      <c r="AC19" s="144" t="s">
        <v>309</v>
      </c>
      <c r="AD19" s="144" t="s">
        <v>309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11284.98</v>
      </c>
      <c r="AR19" s="144">
        <f>AQ19</f>
        <v>11284.98</v>
      </c>
    </row>
    <row r="20" spans="1:44" ht="18">
      <c r="A20" s="128" t="s">
        <v>310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322</v>
      </c>
      <c r="B21" s="147" t="s">
        <v>323</v>
      </c>
      <c r="C21" s="136" t="s">
        <v>307</v>
      </c>
      <c r="D21" s="136" t="s">
        <v>312</v>
      </c>
      <c r="E21" s="137">
        <f aca="true" t="shared" si="2" ref="E21:F23">W21</f>
        <v>78000</v>
      </c>
      <c r="F21" s="138">
        <f>X21</f>
        <v>78000</v>
      </c>
      <c r="G21" s="138"/>
      <c r="H21" s="138"/>
      <c r="I21" s="138" t="s">
        <v>309</v>
      </c>
      <c r="J21" s="138" t="s">
        <v>309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78000</v>
      </c>
      <c r="X21" s="138">
        <f>'2. Расходы бюджета (1.12)'!E70+'2. Расходы бюджета (1.12)'!E71</f>
        <v>78000</v>
      </c>
      <c r="Y21" s="138">
        <f aca="true" t="shared" si="3" ref="Y21:Z26">AQ21</f>
        <v>9322.68</v>
      </c>
      <c r="Z21" s="138">
        <f t="shared" si="3"/>
        <v>9322.68</v>
      </c>
      <c r="AA21" s="138"/>
      <c r="AB21" s="138"/>
      <c r="AC21" s="138" t="s">
        <v>309</v>
      </c>
      <c r="AD21" s="138" t="s">
        <v>309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9322.68</v>
      </c>
      <c r="AR21" s="138">
        <f>AR17</f>
        <v>9322.68</v>
      </c>
    </row>
    <row r="22" spans="1:44" ht="114.75">
      <c r="A22" s="148" t="s">
        <v>324</v>
      </c>
      <c r="B22" s="149" t="s">
        <v>325</v>
      </c>
      <c r="C22" s="149" t="s">
        <v>307</v>
      </c>
      <c r="D22" s="149" t="s">
        <v>313</v>
      </c>
      <c r="E22" s="137">
        <f t="shared" si="2"/>
        <v>22800</v>
      </c>
      <c r="F22" s="137">
        <f t="shared" si="2"/>
        <v>22800</v>
      </c>
      <c r="G22" s="137"/>
      <c r="H22" s="137"/>
      <c r="I22" s="137" t="s">
        <v>309</v>
      </c>
      <c r="J22" s="137" t="s">
        <v>309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22800</v>
      </c>
      <c r="X22" s="138">
        <f>'2. Расходы бюджета (1.12)'!E73</f>
        <v>22800</v>
      </c>
      <c r="Y22" s="138">
        <f t="shared" si="3"/>
        <v>1962.3</v>
      </c>
      <c r="Z22" s="138">
        <f t="shared" si="3"/>
        <v>1962.3</v>
      </c>
      <c r="AA22" s="138"/>
      <c r="AB22" s="138"/>
      <c r="AC22" s="138" t="s">
        <v>309</v>
      </c>
      <c r="AD22" s="138" t="s">
        <v>309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1962.3</v>
      </c>
      <c r="AR22" s="138">
        <f>AR18</f>
        <v>1962.3</v>
      </c>
    </row>
    <row r="23" spans="1:44" ht="76.5">
      <c r="A23" s="141" t="s">
        <v>327</v>
      </c>
      <c r="B23" s="142" t="s">
        <v>328</v>
      </c>
      <c r="C23" s="142" t="s">
        <v>329</v>
      </c>
      <c r="D23" s="142" t="s">
        <v>308</v>
      </c>
      <c r="E23" s="143">
        <f t="shared" si="2"/>
        <v>114948.95999999999</v>
      </c>
      <c r="F23" s="143">
        <f t="shared" si="2"/>
        <v>114948.95999999999</v>
      </c>
      <c r="G23" s="118" t="s">
        <v>309</v>
      </c>
      <c r="H23" s="118" t="s">
        <v>309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114948.95999999999</v>
      </c>
      <c r="X23" s="144">
        <f>X19</f>
        <v>114948.95999999999</v>
      </c>
      <c r="Y23" s="144">
        <f t="shared" si="3"/>
        <v>11284.98</v>
      </c>
      <c r="Z23" s="144">
        <f t="shared" si="3"/>
        <v>11284.98</v>
      </c>
      <c r="AA23" s="144" t="s">
        <v>309</v>
      </c>
      <c r="AB23" s="144" t="s">
        <v>309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11284.98</v>
      </c>
      <c r="AR23" s="144">
        <f>AQ23</f>
        <v>11284.98</v>
      </c>
    </row>
    <row r="24" spans="1:44" ht="51">
      <c r="A24" s="148" t="s">
        <v>311</v>
      </c>
      <c r="B24" s="149" t="s">
        <v>330</v>
      </c>
      <c r="C24" s="149" t="s">
        <v>329</v>
      </c>
      <c r="D24" s="149" t="s">
        <v>312</v>
      </c>
      <c r="E24" s="137">
        <f>F24</f>
        <v>78000</v>
      </c>
      <c r="F24" s="137">
        <f>X24</f>
        <v>78000</v>
      </c>
      <c r="G24" s="137" t="s">
        <v>309</v>
      </c>
      <c r="H24" s="137" t="s">
        <v>309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78000</v>
      </c>
      <c r="X24" s="138">
        <f>X21</f>
        <v>78000</v>
      </c>
      <c r="Y24" s="138">
        <f t="shared" si="3"/>
        <v>9322.68</v>
      </c>
      <c r="Z24" s="138">
        <f t="shared" si="3"/>
        <v>9322.68</v>
      </c>
      <c r="AA24" s="138" t="s">
        <v>309</v>
      </c>
      <c r="AB24" s="138" t="s">
        <v>309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9322.68</v>
      </c>
      <c r="AR24" s="138">
        <f>AR21</f>
        <v>9322.68</v>
      </c>
    </row>
    <row r="25" spans="1:44" ht="140.25">
      <c r="A25" s="148" t="s">
        <v>331</v>
      </c>
      <c r="B25" s="149" t="s">
        <v>332</v>
      </c>
      <c r="C25" s="149" t="s">
        <v>329</v>
      </c>
      <c r="D25" s="149" t="s">
        <v>313</v>
      </c>
      <c r="E25" s="137">
        <f>W25</f>
        <v>22800</v>
      </c>
      <c r="F25" s="137">
        <f>X25</f>
        <v>22800</v>
      </c>
      <c r="G25" s="137" t="s">
        <v>309</v>
      </c>
      <c r="H25" s="137" t="s">
        <v>309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22800</v>
      </c>
      <c r="X25" s="138">
        <f>X22</f>
        <v>22800</v>
      </c>
      <c r="Y25" s="138">
        <f t="shared" si="3"/>
        <v>1962.3</v>
      </c>
      <c r="Z25" s="138">
        <f t="shared" si="3"/>
        <v>1962.3</v>
      </c>
      <c r="AA25" s="138" t="s">
        <v>309</v>
      </c>
      <c r="AB25" s="138" t="s">
        <v>309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1962.3</v>
      </c>
      <c r="AR25" s="138">
        <f>AR22</f>
        <v>1962.3</v>
      </c>
    </row>
    <row r="26" spans="1:44" ht="76.5">
      <c r="A26" s="154" t="s">
        <v>333</v>
      </c>
      <c r="B26" s="151" t="s">
        <v>334</v>
      </c>
      <c r="C26" s="123" t="s">
        <v>307</v>
      </c>
      <c r="D26" s="124" t="s">
        <v>308</v>
      </c>
      <c r="E26" s="143">
        <f>W26</f>
        <v>114948.95999999999</v>
      </c>
      <c r="F26" s="138">
        <f>X26</f>
        <v>114948.95999999999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114948.95999999999</v>
      </c>
      <c r="X26" s="144">
        <f>X23</f>
        <v>114948.95999999999</v>
      </c>
      <c r="Y26" s="144">
        <f t="shared" si="3"/>
        <v>11284.98</v>
      </c>
      <c r="Z26" s="144">
        <f t="shared" si="3"/>
        <v>11284.98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(1.12)'!F157</f>
        <v>11284.98</v>
      </c>
      <c r="AR26" s="144">
        <f>AR23</f>
        <v>11284.98</v>
      </c>
    </row>
    <row r="27" spans="1:44" ht="25.5">
      <c r="A27" s="291" t="s">
        <v>337</v>
      </c>
      <c r="B27" s="292" t="s">
        <v>338</v>
      </c>
      <c r="C27" s="293" t="s">
        <v>307</v>
      </c>
      <c r="D27" s="294" t="s">
        <v>308</v>
      </c>
      <c r="E27" s="295">
        <f>E28+E29</f>
        <v>1903363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1903363</v>
      </c>
      <c r="X27" s="296"/>
      <c r="Y27" s="296">
        <f>Y28+Y29</f>
        <v>51964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51964</v>
      </c>
      <c r="AR27" s="296"/>
    </row>
    <row r="28" spans="1:49" ht="76.5">
      <c r="A28" s="150" t="s">
        <v>335</v>
      </c>
      <c r="B28" s="149" t="s">
        <v>339</v>
      </c>
      <c r="C28" s="116" t="s">
        <v>307</v>
      </c>
      <c r="D28" s="147" t="s">
        <v>308</v>
      </c>
      <c r="E28" s="137">
        <f>W28</f>
        <v>1603363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1603363</v>
      </c>
      <c r="X28" s="138"/>
      <c r="Y28" s="138">
        <f>AQ28</f>
        <v>0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v>0</v>
      </c>
      <c r="AR28" s="138"/>
      <c r="AT28" s="233"/>
      <c r="AW28" s="233"/>
    </row>
    <row r="29" spans="1:44" ht="63.75">
      <c r="A29" s="150" t="s">
        <v>336</v>
      </c>
      <c r="B29" s="149" t="s">
        <v>340</v>
      </c>
      <c r="C29" s="116" t="s">
        <v>307</v>
      </c>
      <c r="D29" s="147" t="s">
        <v>308</v>
      </c>
      <c r="E29" s="137">
        <f>W29</f>
        <v>300000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300000</v>
      </c>
      <c r="X29" s="138"/>
      <c r="Y29" s="138">
        <f>AQ29</f>
        <v>51964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v>51964</v>
      </c>
      <c r="AR29" s="137"/>
    </row>
    <row r="30" spans="1:44" ht="25.5">
      <c r="A30" s="122" t="s">
        <v>341</v>
      </c>
      <c r="B30" s="152" t="s">
        <v>342</v>
      </c>
      <c r="C30" s="153" t="s">
        <v>343</v>
      </c>
      <c r="D30" s="157" t="s">
        <v>308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326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344</v>
      </c>
      <c r="B32" s="123" t="s">
        <v>345</v>
      </c>
      <c r="C32" s="153" t="s">
        <v>307</v>
      </c>
      <c r="D32" s="157" t="s">
        <v>308</v>
      </c>
      <c r="E32" s="159">
        <f>W32</f>
        <v>54800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(1.12)'!D171</f>
        <v>54800</v>
      </c>
      <c r="X32" s="159"/>
      <c r="Y32" s="159">
        <f>AQ32</f>
        <v>9117.86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(1.12)'!F160</f>
        <v>9117.86</v>
      </c>
      <c r="AR32" s="159"/>
    </row>
    <row r="33" spans="1:44" ht="102">
      <c r="A33" s="122" t="s">
        <v>346</v>
      </c>
      <c r="B33" s="151" t="s">
        <v>347</v>
      </c>
      <c r="C33" s="157" t="s">
        <v>307</v>
      </c>
      <c r="D33" s="157" t="s">
        <v>308</v>
      </c>
      <c r="E33" s="159">
        <f>W33</f>
        <v>0</v>
      </c>
      <c r="F33" s="138" t="str">
        <f t="shared" si="4"/>
        <v>х</v>
      </c>
      <c r="G33" s="158" t="s">
        <v>309</v>
      </c>
      <c r="H33" s="158" t="s">
        <v>309</v>
      </c>
      <c r="I33" s="159"/>
      <c r="J33" s="159" t="s">
        <v>309</v>
      </c>
      <c r="K33" s="159"/>
      <c r="L33" s="159" t="s">
        <v>309</v>
      </c>
      <c r="M33" s="159"/>
      <c r="N33" s="159" t="s">
        <v>309</v>
      </c>
      <c r="O33" s="159"/>
      <c r="P33" s="159" t="s">
        <v>309</v>
      </c>
      <c r="Q33" s="159"/>
      <c r="R33" s="159" t="s">
        <v>309</v>
      </c>
      <c r="S33" s="159"/>
      <c r="T33" s="159" t="s">
        <v>309</v>
      </c>
      <c r="U33" s="159"/>
      <c r="V33" s="159" t="s">
        <v>309</v>
      </c>
      <c r="W33" s="159">
        <v>0</v>
      </c>
      <c r="X33" s="158" t="s">
        <v>309</v>
      </c>
      <c r="Y33" s="159" t="str">
        <f>AQ33</f>
        <v>х</v>
      </c>
      <c r="Z33" s="158" t="s">
        <v>309</v>
      </c>
      <c r="AA33" s="158" t="s">
        <v>309</v>
      </c>
      <c r="AB33" s="158" t="s">
        <v>309</v>
      </c>
      <c r="AC33" s="158" t="s">
        <v>309</v>
      </c>
      <c r="AD33" s="158" t="s">
        <v>309</v>
      </c>
      <c r="AE33" s="158" t="s">
        <v>309</v>
      </c>
      <c r="AF33" s="158" t="s">
        <v>309</v>
      </c>
      <c r="AG33" s="158" t="s">
        <v>309</v>
      </c>
      <c r="AH33" s="158" t="s">
        <v>309</v>
      </c>
      <c r="AI33" s="158" t="s">
        <v>309</v>
      </c>
      <c r="AJ33" s="158" t="s">
        <v>309</v>
      </c>
      <c r="AK33" s="158" t="s">
        <v>309</v>
      </c>
      <c r="AL33" s="158" t="s">
        <v>309</v>
      </c>
      <c r="AM33" s="158" t="s">
        <v>309</v>
      </c>
      <c r="AN33" s="158" t="s">
        <v>309</v>
      </c>
      <c r="AO33" s="158" t="s">
        <v>309</v>
      </c>
      <c r="AP33" s="158" t="s">
        <v>309</v>
      </c>
      <c r="AQ33" s="158" t="s">
        <v>309</v>
      </c>
      <c r="AR33" s="158" t="s">
        <v>309</v>
      </c>
    </row>
    <row r="34" spans="1:44" ht="69.75" customHeight="1">
      <c r="A34" s="207" t="s">
        <v>453</v>
      </c>
      <c r="B34" s="151" t="s">
        <v>454</v>
      </c>
      <c r="C34" s="157" t="s">
        <v>307</v>
      </c>
      <c r="D34" s="157" t="s">
        <v>308</v>
      </c>
      <c r="E34" s="159">
        <f>W34</f>
        <v>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0</v>
      </c>
      <c r="X34" s="158"/>
      <c r="Y34" s="159">
        <f>AQ34</f>
        <v>0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0</v>
      </c>
      <c r="AR34" s="158"/>
    </row>
    <row r="35" spans="1:44" ht="38.25">
      <c r="A35" s="122" t="s">
        <v>348</v>
      </c>
      <c r="B35" s="152" t="s">
        <v>349</v>
      </c>
      <c r="C35" s="153" t="s">
        <v>307</v>
      </c>
      <c r="D35" s="157" t="s">
        <v>308</v>
      </c>
      <c r="E35" s="159">
        <f>'2. Расходы бюджета (1.12)'!D7-справочная!G35</f>
        <v>3581481.41</v>
      </c>
      <c r="F35" s="138">
        <f>'2. Расходы бюджета (1.12)'!D77</f>
        <v>114948.95999999999</v>
      </c>
      <c r="G35" s="159">
        <f>'2. Расходы бюджета (1.12)'!D40+'2. Расходы бюджета (1.12)'!D42+'2. Расходы бюджета (1.12)'!D63+'2. Расходы бюджета (1.12)'!D178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3586281.41</v>
      </c>
      <c r="X35" s="158">
        <f>F35</f>
        <v>114948.95999999999</v>
      </c>
      <c r="Y35" s="159">
        <f>'2. Расходы бюджета (1.12)'!F7-AA35</f>
        <v>282572.39999999997</v>
      </c>
      <c r="Z35" s="159">
        <f>AR35</f>
        <v>11284.98</v>
      </c>
      <c r="AA35" s="159">
        <f>'2. Расходы бюджета (1.12)'!F173+'2. Расходы бюджета (1.12)'!F64+'2. Расходы бюджета (1.12)'!F43+'2. Расходы бюджета (1.12)'!F41</f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282572.39999999997</v>
      </c>
      <c r="AR35" s="159">
        <f>AR26</f>
        <v>11284.98</v>
      </c>
    </row>
    <row r="36" spans="1:44" ht="102">
      <c r="A36" s="163" t="s">
        <v>350</v>
      </c>
      <c r="B36" s="140" t="s">
        <v>351</v>
      </c>
      <c r="C36" s="119" t="s">
        <v>307</v>
      </c>
      <c r="D36" s="116" t="s">
        <v>308</v>
      </c>
      <c r="E36" s="159">
        <f aca="true" t="shared" si="5" ref="E36:E41">W36</f>
        <v>114948.95999999999</v>
      </c>
      <c r="F36" s="138">
        <f>F35</f>
        <v>114948.95999999999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114948.95999999999</v>
      </c>
      <c r="X36" s="165">
        <f>X35</f>
        <v>114948.95999999999</v>
      </c>
      <c r="Y36" s="159">
        <f>AQ36</f>
        <v>11284.98</v>
      </c>
      <c r="Z36" s="165">
        <f>AR36</f>
        <v>11284.98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11284.98</v>
      </c>
      <c r="AR36" s="158">
        <f>AR26</f>
        <v>11284.98</v>
      </c>
    </row>
    <row r="37" spans="1:44" ht="38.25">
      <c r="A37" s="122" t="s">
        <v>352</v>
      </c>
      <c r="B37" s="152" t="s">
        <v>353</v>
      </c>
      <c r="C37" s="153" t="s">
        <v>307</v>
      </c>
      <c r="D37" s="157" t="s">
        <v>308</v>
      </c>
      <c r="E37" s="159" t="str">
        <f t="shared" si="5"/>
        <v>х</v>
      </c>
      <c r="F37" s="164" t="s">
        <v>309</v>
      </c>
      <c r="G37" s="164" t="s">
        <v>309</v>
      </c>
      <c r="H37" s="164" t="s">
        <v>309</v>
      </c>
      <c r="I37" s="164" t="s">
        <v>309</v>
      </c>
      <c r="J37" s="164" t="s">
        <v>309</v>
      </c>
      <c r="K37" s="164" t="s">
        <v>309</v>
      </c>
      <c r="L37" s="164" t="s">
        <v>309</v>
      </c>
      <c r="M37" s="164" t="s">
        <v>309</v>
      </c>
      <c r="N37" s="164" t="s">
        <v>309</v>
      </c>
      <c r="O37" s="164" t="s">
        <v>309</v>
      </c>
      <c r="P37" s="164" t="s">
        <v>309</v>
      </c>
      <c r="Q37" s="164" t="s">
        <v>309</v>
      </c>
      <c r="R37" s="164" t="s">
        <v>309</v>
      </c>
      <c r="S37" s="164" t="s">
        <v>309</v>
      </c>
      <c r="T37" s="164" t="s">
        <v>309</v>
      </c>
      <c r="U37" s="164" t="s">
        <v>309</v>
      </c>
      <c r="V37" s="164" t="s">
        <v>309</v>
      </c>
      <c r="W37" s="164" t="s">
        <v>309</v>
      </c>
      <c r="X37" s="164" t="s">
        <v>309</v>
      </c>
      <c r="Y37" s="159">
        <f>AQ37</f>
        <v>954445.2</v>
      </c>
      <c r="Z37" s="159">
        <f>Z39</f>
        <v>11704.82</v>
      </c>
      <c r="AA37" s="158" t="s">
        <v>309</v>
      </c>
      <c r="AB37" s="158" t="s">
        <v>309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974979.7+'2. Расходы бюджета (1.12)'!F181</f>
        <v>954445.2</v>
      </c>
      <c r="AR37" s="159">
        <f>Z37</f>
        <v>11704.82</v>
      </c>
    </row>
    <row r="38" spans="1:44" ht="15">
      <c r="A38" s="189" t="s">
        <v>326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354</v>
      </c>
      <c r="B39" s="149" t="s">
        <v>355</v>
      </c>
      <c r="C39" s="116" t="s">
        <v>307</v>
      </c>
      <c r="D39" s="116" t="s">
        <v>308</v>
      </c>
      <c r="E39" s="159" t="str">
        <f t="shared" si="5"/>
        <v>х</v>
      </c>
      <c r="F39" s="166" t="s">
        <v>309</v>
      </c>
      <c r="G39" s="166" t="s">
        <v>309</v>
      </c>
      <c r="H39" s="166" t="s">
        <v>309</v>
      </c>
      <c r="I39" s="166" t="s">
        <v>309</v>
      </c>
      <c r="J39" s="166" t="s">
        <v>309</v>
      </c>
      <c r="K39" s="166" t="s">
        <v>309</v>
      </c>
      <c r="L39" s="166" t="s">
        <v>309</v>
      </c>
      <c r="M39" s="166" t="s">
        <v>309</v>
      </c>
      <c r="N39" s="166" t="s">
        <v>309</v>
      </c>
      <c r="O39" s="166" t="s">
        <v>309</v>
      </c>
      <c r="P39" s="166" t="s">
        <v>309</v>
      </c>
      <c r="Q39" s="166" t="s">
        <v>309</v>
      </c>
      <c r="R39" s="166" t="s">
        <v>309</v>
      </c>
      <c r="S39" s="166" t="s">
        <v>309</v>
      </c>
      <c r="T39" s="166" t="s">
        <v>309</v>
      </c>
      <c r="U39" s="166" t="s">
        <v>309</v>
      </c>
      <c r="V39" s="166" t="s">
        <v>309</v>
      </c>
      <c r="W39" s="166" t="s">
        <v>309</v>
      </c>
      <c r="X39" s="166" t="s">
        <v>309</v>
      </c>
      <c r="Y39" s="165">
        <f>AQ39</f>
        <v>11704.82</v>
      </c>
      <c r="Z39" s="165">
        <f>AR39</f>
        <v>11704.82</v>
      </c>
      <c r="AA39" s="165" t="s">
        <v>309</v>
      </c>
      <c r="AB39" s="165" t="s">
        <v>309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(1.12)'!E86-'2. Расходы бюджета (1.12)'!F81</f>
        <v>11704.82</v>
      </c>
      <c r="AR39" s="165">
        <f>AQ39</f>
        <v>11704.82</v>
      </c>
    </row>
    <row r="40" spans="1:44" ht="27.75" customHeight="1">
      <c r="A40" s="280" t="s">
        <v>370</v>
      </c>
      <c r="B40" s="281" t="s">
        <v>371</v>
      </c>
      <c r="C40" s="282" t="s">
        <v>308</v>
      </c>
      <c r="D40" s="282" t="s">
        <v>308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449</v>
      </c>
      <c r="B41" s="190" t="s">
        <v>414</v>
      </c>
      <c r="C41" s="191" t="s">
        <v>308</v>
      </c>
      <c r="D41" s="191" t="s">
        <v>308</v>
      </c>
      <c r="E41" s="283">
        <f t="shared" si="5"/>
        <v>0</v>
      </c>
      <c r="F41" s="166">
        <v>0</v>
      </c>
      <c r="G41" s="166">
        <v>0</v>
      </c>
      <c r="H41" s="192" t="s">
        <v>415</v>
      </c>
      <c r="I41" s="185" t="s">
        <v>416</v>
      </c>
      <c r="J41" s="185" t="s">
        <v>417</v>
      </c>
      <c r="K41" s="185" t="s">
        <v>418</v>
      </c>
      <c r="L41" s="185" t="s">
        <v>419</v>
      </c>
      <c r="M41" s="185" t="s">
        <v>420</v>
      </c>
      <c r="N41" s="185" t="s">
        <v>421</v>
      </c>
      <c r="O41" s="185" t="s">
        <v>422</v>
      </c>
      <c r="P41" s="185" t="s">
        <v>423</v>
      </c>
      <c r="Q41" s="185" t="s">
        <v>424</v>
      </c>
      <c r="R41" s="185" t="s">
        <v>425</v>
      </c>
      <c r="S41" s="185" t="s">
        <v>426</v>
      </c>
      <c r="T41" s="185" t="s">
        <v>427</v>
      </c>
      <c r="U41" s="185" t="s">
        <v>428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415</v>
      </c>
      <c r="AD41" s="195" t="s">
        <v>416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448</v>
      </c>
      <c r="B42" s="190" t="s">
        <v>442</v>
      </c>
      <c r="C42" s="191" t="s">
        <v>308</v>
      </c>
      <c r="D42" s="191" t="s">
        <v>308</v>
      </c>
      <c r="E42" s="159">
        <f>'2. Расходы бюджета (1.12)'!D143</f>
        <v>0</v>
      </c>
      <c r="F42" s="166">
        <v>0</v>
      </c>
      <c r="G42" s="185">
        <v>0</v>
      </c>
      <c r="H42" s="192" t="s">
        <v>415</v>
      </c>
      <c r="I42" s="185" t="s">
        <v>416</v>
      </c>
      <c r="J42" s="185" t="s">
        <v>417</v>
      </c>
      <c r="K42" s="185" t="s">
        <v>418</v>
      </c>
      <c r="L42" s="185" t="s">
        <v>419</v>
      </c>
      <c r="M42" s="185" t="s">
        <v>420</v>
      </c>
      <c r="N42" s="185" t="s">
        <v>421</v>
      </c>
      <c r="O42" s="185" t="s">
        <v>422</v>
      </c>
      <c r="P42" s="185" t="s">
        <v>423</v>
      </c>
      <c r="Q42" s="185" t="s">
        <v>424</v>
      </c>
      <c r="R42" s="185" t="s">
        <v>425</v>
      </c>
      <c r="S42" s="185" t="s">
        <v>426</v>
      </c>
      <c r="T42" s="185" t="s">
        <v>427</v>
      </c>
      <c r="U42" s="185" t="s">
        <v>428</v>
      </c>
      <c r="V42" s="185" t="s">
        <v>429</v>
      </c>
      <c r="W42" s="165">
        <f>E42</f>
        <v>0</v>
      </c>
      <c r="X42" s="166">
        <v>0</v>
      </c>
      <c r="Y42" s="165">
        <v>0</v>
      </c>
      <c r="Z42" s="165">
        <v>0</v>
      </c>
      <c r="AA42" s="194">
        <v>0</v>
      </c>
      <c r="AB42" s="158">
        <v>0</v>
      </c>
      <c r="AC42" s="194" t="s">
        <v>415</v>
      </c>
      <c r="AD42" s="195" t="s">
        <v>416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Y42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435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67" t="s">
        <v>457</v>
      </c>
      <c r="P44" s="367"/>
      <c r="Q44" s="367"/>
      <c r="R44" s="367"/>
      <c r="S44" s="367"/>
      <c r="T44" s="367"/>
      <c r="U44" s="367"/>
      <c r="V44" s="367"/>
      <c r="W44" s="367"/>
      <c r="X44" s="367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68" t="s">
        <v>356</v>
      </c>
      <c r="G45" s="368"/>
      <c r="H45" s="368"/>
      <c r="I45" s="369"/>
      <c r="J45" s="369"/>
      <c r="K45" s="172"/>
      <c r="L45" s="176"/>
      <c r="M45" s="172"/>
      <c r="N45" s="370" t="s">
        <v>357</v>
      </c>
      <c r="O45" s="370"/>
      <c r="P45" s="370"/>
      <c r="Q45" s="370"/>
      <c r="R45" s="370"/>
      <c r="S45" s="370"/>
      <c r="T45" s="370"/>
      <c r="U45" s="370"/>
      <c r="V45" s="370"/>
      <c r="W45" s="370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01.03.2023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  <mergeCell ref="AQ6:AR6"/>
    <mergeCell ref="AA6:AB6"/>
    <mergeCell ref="AC11:AD11"/>
    <mergeCell ref="AE11:AF11"/>
    <mergeCell ref="AK11:AL11"/>
    <mergeCell ref="AM11:AN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Q11:R11"/>
    <mergeCell ref="S11:T11"/>
    <mergeCell ref="AQ8:AR8"/>
    <mergeCell ref="Y11:Z11"/>
    <mergeCell ref="AA11:AB11"/>
    <mergeCell ref="W8:X8"/>
    <mergeCell ref="Z8:AB8"/>
    <mergeCell ref="AQ11:AR11"/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2023-02-03T06:14:02Z</cp:lastPrinted>
  <dcterms:created xsi:type="dcterms:W3CDTF">2002-10-08T15:02:13Z</dcterms:created>
  <dcterms:modified xsi:type="dcterms:W3CDTF">2023-03-06T08:21:53Z</dcterms:modified>
  <cp:category/>
  <cp:version/>
  <cp:contentType/>
  <cp:contentStatus/>
</cp:coreProperties>
</file>