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1"/>
  </bookViews>
  <sheets>
    <sheet name="N0rJaXo" sheetId="1" state="hidden" r:id="rId1"/>
    <sheet name="1. Доходы бюджета (1.12)" sheetId="2" r:id="rId2"/>
    <sheet name="2. Расходы бюджета (1.12)" sheetId="3" r:id="rId3"/>
    <sheet name="3. Источники финансирования  " sheetId="4" r:id="rId4"/>
    <sheet name="справочная" sheetId="5" r:id="rId5"/>
  </sheets>
  <definedNames>
    <definedName name="bar" localSheetId="3">#REF!</definedName>
    <definedName name="bar">#REF!</definedName>
    <definedName name="bar_gr" localSheetId="3">#REF!</definedName>
    <definedName name="bar_gr">#REF!</definedName>
    <definedName name="Boss_Dol">#REF!</definedName>
    <definedName name="Boss_FIO">#REF!</definedName>
    <definedName name="BUDGET_LEVEL" localSheetId="3">#REF!</definedName>
    <definedName name="BUDGET_LEVEL">#REF!</definedName>
    <definedName name="Buh_Dol">#REF!</definedName>
    <definedName name="Buh_FIO">#REF!</definedName>
    <definedName name="cbkexp" localSheetId="3">#REF!</definedName>
    <definedName name="cbkexp">#REF!</definedName>
    <definedName name="Chef_Dol">#REF!</definedName>
    <definedName name="Chef_FIO">#REF!</definedName>
    <definedName name="code" localSheetId="3">#REF!</definedName>
    <definedName name="code">#REF!</definedName>
    <definedName name="CORR_IN" localSheetId="3">#REF!</definedName>
    <definedName name="CORR_IN">#REF!</definedName>
    <definedName name="CORR_NAME" localSheetId="3">#REF!</definedName>
    <definedName name="CORR_NAME">#REF!</definedName>
    <definedName name="CORR_OUT" localSheetId="3">#REF!</definedName>
    <definedName name="CORR_OUT">#REF!</definedName>
    <definedName name="cREPORT_ADD_DATA" localSheetId="3">#REF!</definedName>
    <definedName name="cREPORT_ADD_DATA">#REF!</definedName>
    <definedName name="CurentGroup">#REF!</definedName>
    <definedName name="CurRow">#REF!</definedName>
    <definedName name="Data" localSheetId="3">#REF!</definedName>
    <definedName name="Data">#REF!</definedName>
    <definedName name="DataFields" localSheetId="3">#REF!</definedName>
    <definedName name="DataFields">#REF!</definedName>
    <definedName name="DB_NAME" localSheetId="3">#REF!</definedName>
    <definedName name="DB_NAME">#REF!</definedName>
    <definedName name="DBUSER_NAME" localSheetId="3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 localSheetId="3">#REF!</definedName>
    <definedName name="FIELDS_LIST">#REF!</definedName>
    <definedName name="FIELDS_LIST_1" localSheetId="3">#REF!</definedName>
    <definedName name="FIELDS_LIST_1">#REF!</definedName>
    <definedName name="FIELDS_LIST_2" localSheetId="3">#REF!</definedName>
    <definedName name="FIELDS_LIST_2">#REF!</definedName>
    <definedName name="FIELDS_LIST_3" localSheetId="3">#REF!</definedName>
    <definedName name="FIELDS_LIST_3">#REF!</definedName>
    <definedName name="FIELDS_LIST_TYPE" localSheetId="3">#REF!</definedName>
    <definedName name="FIELDS_LIST_TYPE">#REF!</definedName>
    <definedName name="Footer">#REF!</definedName>
    <definedName name="gr" localSheetId="3">#REF!</definedName>
    <definedName name="gr">#REF!</definedName>
    <definedName name="GroupOrder">#REF!</definedName>
    <definedName name="IsUp_bar" localSheetId="3">#REF!</definedName>
    <definedName name="IsUp_bar">#REF!</definedName>
    <definedName name="IsUp_bar_gr" localSheetId="3">#REF!</definedName>
    <definedName name="IsUp_bar_gr">#REF!</definedName>
    <definedName name="IsUp_cbkexp" localSheetId="3">#REF!</definedName>
    <definedName name="IsUp_cbkexp">#REF!</definedName>
    <definedName name="IsUp_code" localSheetId="3">#REF!</definedName>
    <definedName name="IsUp_code">#REF!</definedName>
    <definedName name="IsUp_gr" localSheetId="3">#REF!</definedName>
    <definedName name="IsUp_gr">#REF!</definedName>
    <definedName name="IsUp_link" localSheetId="3">#REF!</definedName>
    <definedName name="IsUp_link">#REF!</definedName>
    <definedName name="IsUp_name" localSheetId="3">#REF!</definedName>
    <definedName name="IsUp_name">#REF!</definedName>
    <definedName name="IsUp_razdel" localSheetId="3">#REF!</definedName>
    <definedName name="IsUp_razdel">#REF!</definedName>
    <definedName name="IsUp_sourcetype">#REF!</definedName>
    <definedName name="IsUp_summa_1_1" localSheetId="3">#REF!</definedName>
    <definedName name="IsUp_summa_1_1">#REF!</definedName>
    <definedName name="IsUp_summa_1_10">#REF!</definedName>
    <definedName name="IsUp_summa_1_11">#REF!</definedName>
    <definedName name="IsUp_summa_1_12">#REF!</definedName>
    <definedName name="IsUp_summa_1_13">#REF!</definedName>
    <definedName name="IsUp_summa_1_14">#REF!</definedName>
    <definedName name="IsUp_summa_1_15">#REF!</definedName>
    <definedName name="IsUp_summa_1_16">#REF!</definedName>
    <definedName name="IsUp_summa_1_2" localSheetId="3">#REF!</definedName>
    <definedName name="IsUp_summa_1_2">#REF!</definedName>
    <definedName name="IsUp_summa_1_3" localSheetId="3">#REF!</definedName>
    <definedName name="IsUp_summa_1_3">#REF!</definedName>
    <definedName name="IsUp_summa_1_4" localSheetId="3">#REF!</definedName>
    <definedName name="IsUp_summa_1_4">#REF!</definedName>
    <definedName name="IsUp_summa_1_5" localSheetId="3">#REF!</definedName>
    <definedName name="IsUp_summa_1_5">#REF!</definedName>
    <definedName name="IsUp_summa_1_6" localSheetId="3">#REF!</definedName>
    <definedName name="IsUp_summa_1_6">#REF!</definedName>
    <definedName name="IsUp_summa_1_7">#REF!</definedName>
    <definedName name="IsUp_summa_1_8">#REF!</definedName>
    <definedName name="IsUp_summa_1_9">#REF!</definedName>
    <definedName name="IsUp_summa_2_1" localSheetId="3">#REF!</definedName>
    <definedName name="IsUp_summa_2_1">#REF!</definedName>
    <definedName name="IsUp_summa_2_10">#REF!</definedName>
    <definedName name="IsUp_summa_2_11">#REF!</definedName>
    <definedName name="IsUp_summa_2_12">#REF!</definedName>
    <definedName name="IsUp_summa_2_13">#REF!</definedName>
    <definedName name="IsUp_summa_2_14">#REF!</definedName>
    <definedName name="IsUp_summa_2_15">#REF!</definedName>
    <definedName name="IsUp_summa_2_16">#REF!</definedName>
    <definedName name="IsUp_summa_2_2" localSheetId="3">#REF!</definedName>
    <definedName name="IsUp_summa_2_2">#REF!</definedName>
    <definedName name="IsUp_summa_2_3" localSheetId="3">#REF!</definedName>
    <definedName name="IsUp_summa_2_3">#REF!</definedName>
    <definedName name="IsUp_summa_2_4" localSheetId="3">#REF!</definedName>
    <definedName name="IsUp_summa_2_4">#REF!</definedName>
    <definedName name="IsUp_summa_2_5" localSheetId="3">#REF!</definedName>
    <definedName name="IsUp_summa_2_5">#REF!</definedName>
    <definedName name="IsUp_summa_2_6" localSheetId="3">#REF!</definedName>
    <definedName name="IsUp_summa_2_6">#REF!</definedName>
    <definedName name="IsUp_summa_2_7" localSheetId="3">#REF!</definedName>
    <definedName name="IsUp_summa_2_7">#REF!</definedName>
    <definedName name="IsUp_summa_2_8" localSheetId="3">#REF!</definedName>
    <definedName name="IsUp_summa_2_8">#REF!</definedName>
    <definedName name="IsUp_summa_2_9">#REF!</definedName>
    <definedName name="IsUp_summa_3_1" localSheetId="3">#REF!</definedName>
    <definedName name="IsUp_summa_3_1">#REF!</definedName>
    <definedName name="IsUp_summa_3_10">#REF!</definedName>
    <definedName name="IsUp_summa_3_11">#REF!</definedName>
    <definedName name="IsUp_summa_3_12">#REF!</definedName>
    <definedName name="IsUp_summa_3_13">#REF!</definedName>
    <definedName name="IsUp_summa_3_14">#REF!</definedName>
    <definedName name="IsUp_summa_3_15">#REF!</definedName>
    <definedName name="IsUp_summa_3_16">#REF!</definedName>
    <definedName name="IsUp_summa_3_2" localSheetId="3">#REF!</definedName>
    <definedName name="IsUp_summa_3_2">#REF!</definedName>
    <definedName name="IsUp_summa_3_3" localSheetId="3">#REF!</definedName>
    <definedName name="IsUp_summa_3_3">#REF!</definedName>
    <definedName name="IsUp_summa_3_4" localSheetId="3">#REF!</definedName>
    <definedName name="IsUp_summa_3_4">#REF!</definedName>
    <definedName name="IsUp_summa_3_5" localSheetId="3">#REF!</definedName>
    <definedName name="IsUp_summa_3_5">#REF!</definedName>
    <definedName name="IsUp_summa_3_6" localSheetId="3">#REF!</definedName>
    <definedName name="IsUp_summa_3_6">#REF!</definedName>
    <definedName name="IsUp_summa_3_7">#REF!</definedName>
    <definedName name="IsUp_summa_3_8">#REF!</definedName>
    <definedName name="IsUp_summa_3_9">#REF!</definedName>
    <definedName name="LINK" localSheetId="2">'2. Расходы бюджета (1.12)'!#REF!</definedName>
    <definedName name="LINK" localSheetId="3">'3. Источники финансирования  '!#REF!</definedName>
    <definedName name="link">#REF!</definedName>
    <definedName name="name" localSheetId="3">#REF!</definedName>
    <definedName name="name">#REF!</definedName>
    <definedName name="NastrFields" localSheetId="3">#REF!</definedName>
    <definedName name="NastrFields">#REF!</definedName>
    <definedName name="nCheck1">#REF!</definedName>
    <definedName name="nCheck2">#REF!</definedName>
    <definedName name="nCheck3">#REF!</definedName>
    <definedName name="nCheck4">#REF!</definedName>
    <definedName name="nCheck5">#REF!</definedName>
    <definedName name="nCheck6">#REF!</definedName>
    <definedName name="nCheck7">#REF!</definedName>
    <definedName name="nCheck8">#REF!</definedName>
    <definedName name="OBJ_CODE" localSheetId="3">#REF!</definedName>
    <definedName name="OBJ_CODE">#REF!</definedName>
    <definedName name="OFK_CODE" localSheetId="3">#REF!</definedName>
    <definedName name="OFK_CODE">#REF!</definedName>
    <definedName name="PrevGroupName">#REF!</definedName>
    <definedName name="PrevGroupValue">#REF!</definedName>
    <definedName name="PRINT_BUDGET_NAME" localSheetId="3">#REF!</definedName>
    <definedName name="PRINT_BUDGET_NAME">#REF!</definedName>
    <definedName name="PRINT_CORR_NAME" localSheetId="3">#REF!</definedName>
    <definedName name="PRINT_CORR_NAME">#REF!</definedName>
    <definedName name="Rash_Date">#REF!</definedName>
    <definedName name="razdel" localSheetId="3">#REF!</definedName>
    <definedName name="razdel">#REF!</definedName>
    <definedName name="RAZDEL_COUNT" localSheetId="3">#REF!</definedName>
    <definedName name="RAZDEL_COUNT">#REF!</definedName>
    <definedName name="REPORT_ADD_DATA" localSheetId="3">#REF!</definedName>
    <definedName name="REPORT_ADD_DATA">#REF!</definedName>
    <definedName name="SAVE_PROC_1" localSheetId="3">#REF!</definedName>
    <definedName name="SAVE_PROC_1">#REF!</definedName>
    <definedName name="SAVE_PROC_2" localSheetId="3">#REF!</definedName>
    <definedName name="SAVE_PROC_2">#REF!</definedName>
    <definedName name="SAVE_PROC_3" localSheetId="3">#REF!</definedName>
    <definedName name="SAVE_PROC_3">#REF!</definedName>
    <definedName name="sourcetype">#REF!</definedName>
    <definedName name="SRV_NAME" localSheetId="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 localSheetId="3">#REF!</definedName>
    <definedName name="summa_1_1">#REF!</definedName>
    <definedName name="summa_1_10">#REF!</definedName>
    <definedName name="summa_1_11">#REF!</definedName>
    <definedName name="summa_1_12">#REF!</definedName>
    <definedName name="summa_1_13">#REF!</definedName>
    <definedName name="summa_1_14">#REF!</definedName>
    <definedName name="summa_1_15">#REF!</definedName>
    <definedName name="summa_1_16">#REF!</definedName>
    <definedName name="summa_1_2" localSheetId="3">#REF!</definedName>
    <definedName name="summa_1_2">#REF!</definedName>
    <definedName name="summa_1_3" localSheetId="3">#REF!</definedName>
    <definedName name="summa_1_3">#REF!</definedName>
    <definedName name="summa_1_4" localSheetId="3">#REF!</definedName>
    <definedName name="summa_1_4">#REF!</definedName>
    <definedName name="summa_1_5" localSheetId="3">#REF!</definedName>
    <definedName name="summa_1_5">#REF!</definedName>
    <definedName name="summa_1_6" localSheetId="3">#REF!</definedName>
    <definedName name="summa_1_6">#REF!</definedName>
    <definedName name="summa_1_7">#REF!</definedName>
    <definedName name="summa_1_8">#REF!</definedName>
    <definedName name="summa_1_9">#REF!</definedName>
    <definedName name="summa_2_1" localSheetId="3">#REF!</definedName>
    <definedName name="summa_2_1">#REF!</definedName>
    <definedName name="summa_2_10">#REF!</definedName>
    <definedName name="summa_2_11">#REF!</definedName>
    <definedName name="summa_2_12">#REF!</definedName>
    <definedName name="summa_2_13">#REF!</definedName>
    <definedName name="summa_2_14">#REF!</definedName>
    <definedName name="summa_2_15">#REF!</definedName>
    <definedName name="summa_2_16">#REF!</definedName>
    <definedName name="summa_2_2" localSheetId="3">#REF!</definedName>
    <definedName name="summa_2_2">#REF!</definedName>
    <definedName name="summa_2_3" localSheetId="3">#REF!</definedName>
    <definedName name="summa_2_3">#REF!</definedName>
    <definedName name="summa_2_4" localSheetId="3">#REF!</definedName>
    <definedName name="summa_2_4">#REF!</definedName>
    <definedName name="summa_2_5" localSheetId="3">#REF!</definedName>
    <definedName name="summa_2_5">#REF!</definedName>
    <definedName name="summa_2_6" localSheetId="3">#REF!</definedName>
    <definedName name="summa_2_6">#REF!</definedName>
    <definedName name="summa_2_7" localSheetId="3">#REF!</definedName>
    <definedName name="summa_2_7">#REF!</definedName>
    <definedName name="summa_2_8" localSheetId="3">#REF!</definedName>
    <definedName name="summa_2_8">#REF!</definedName>
    <definedName name="summa_2_9">#REF!</definedName>
    <definedName name="summa_3_1" localSheetId="3">#REF!</definedName>
    <definedName name="summa_3_1">#REF!</definedName>
    <definedName name="summa_3_10">#REF!</definedName>
    <definedName name="summa_3_11">#REF!</definedName>
    <definedName name="summa_3_12">#REF!</definedName>
    <definedName name="summa_3_13">#REF!</definedName>
    <definedName name="summa_3_14">#REF!</definedName>
    <definedName name="summa_3_15">#REF!</definedName>
    <definedName name="summa_3_16">#REF!</definedName>
    <definedName name="summa_3_2" localSheetId="3">#REF!</definedName>
    <definedName name="summa_3_2">#REF!</definedName>
    <definedName name="summa_3_3" localSheetId="3">#REF!</definedName>
    <definedName name="summa_3_3">#REF!</definedName>
    <definedName name="summa_3_4" localSheetId="3">#REF!</definedName>
    <definedName name="summa_3_4">#REF!</definedName>
    <definedName name="summa_3_5" localSheetId="3">#REF!</definedName>
    <definedName name="summa_3_5">#REF!</definedName>
    <definedName name="summa_3_6" localSheetId="3">#REF!</definedName>
    <definedName name="summa_3_6">#REF!</definedName>
    <definedName name="summa_3_7">#REF!</definedName>
    <definedName name="summa_3_8">#REF!</definedName>
    <definedName name="summa_3_9">#REF!</definedName>
    <definedName name="TERR_NAME" localSheetId="3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<sst xmlns="http://schemas.openxmlformats.org/spreadsheetml/2006/main" count="913" uniqueCount="492">
  <si>
    <t>КОДЫ</t>
  </si>
  <si>
    <t>Форма по ОКУД</t>
  </si>
  <si>
    <t>Дата</t>
  </si>
  <si>
    <t>по ОКЕИ</t>
  </si>
  <si>
    <t>Наименование показателя</t>
  </si>
  <si>
    <t>Код строки</t>
  </si>
  <si>
    <t>(органа, осуществляющего кассовое обслуживание исполнения бюджета)</t>
  </si>
  <si>
    <t>Единица измерения: руб.</t>
  </si>
  <si>
    <t>по КОФК</t>
  </si>
  <si>
    <t>Периодичность: ежемесячная</t>
  </si>
  <si>
    <t xml:space="preserve"> ОТЧЕТ ОБ ИСПОЛНЕНИИ БЮДЖЕТА</t>
  </si>
  <si>
    <t>0503127</t>
  </si>
  <si>
    <t>1. 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</si>
  <si>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</si>
  <si>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</si>
  <si>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</si>
  <si>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</si>
  <si>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</si>
  <si>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</si>
  <si>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</si>
  <si>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Неисполненные назначения</t>
  </si>
  <si>
    <t xml:space="preserve">Наименование органа, организующего исполнения бюджета: </t>
  </si>
  <si>
    <t>2. РАСХОДЫ БЮДЖЕТА</t>
  </si>
  <si>
    <t>3. ИСТОЧНИКИ ФИНАНСИРОВАНИЯ ДЕФИЦИТА БЮДЖЕТА</t>
  </si>
  <si>
    <t>Код расхода
по ФКР, КЦСР, КВР, ЭКР</t>
  </si>
  <si>
    <t>по ассигнованиям</t>
  </si>
  <si>
    <t>Лимиты бюджетных обязательств</t>
  </si>
  <si>
    <t>Бюджетные ассигнования, утвержденные законом о бюджете, нормативными правовыми актами о бюджете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</si>
  <si>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</si>
  <si>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</si>
  <si>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</si>
  <si>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</si>
  <si>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</si>
  <si>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</si>
  <si>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</si>
  <si>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</si>
  <si>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</si>
  <si>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</si>
  <si>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</si>
  <si>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Раздел 1|Раздел 2|Раздел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</si>
  <si>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</si>
  <si>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</si>
  <si>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</si>
  <si>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Доходы бюджета - всего</t>
  </si>
  <si>
    <t>010</t>
  </si>
  <si>
    <t>18210102021013000110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</si>
  <si>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</si>
  <si>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</si>
  <si>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 xml:space="preserve">   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взысканные суммы</t>
  </si>
  <si>
    <t>Расходы бюджета - всего</t>
  </si>
  <si>
    <t>200</t>
  </si>
  <si>
    <t xml:space="preserve">   Заработная плата</t>
  </si>
  <si>
    <t xml:space="preserve">   Начисления на выплаты по оплате труда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</si>
  <si>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</si>
  <si>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</si>
  <si>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</si>
  <si>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</si>
  <si>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</si>
  <si>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Результат исполнения бюджета</t>
  </si>
  <si>
    <t>450</t>
  </si>
  <si>
    <t>00079000000000000000</t>
  </si>
  <si>
    <t>500</t>
  </si>
  <si>
    <t>00090000000000000000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</si>
  <si>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</si>
  <si>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</si>
  <si>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</si>
  <si>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</si>
  <si>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</si>
  <si>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</si>
  <si>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700</t>
  </si>
  <si>
    <t>710</t>
  </si>
  <si>
    <t>720</t>
  </si>
  <si>
    <t xml:space="preserve">Наименование бюджета: 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</si>
  <si>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</si>
  <si>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</si>
  <si>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</si>
  <si>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</si>
  <si>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</si>
  <si>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</si>
  <si>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 поселений</t>
  </si>
  <si>
    <t>бюджет территори- ального  фонда обязательного медицинского страхования</t>
  </si>
  <si>
    <t xml:space="preserve">консолидиро-ванный бюджет субъекта Российской Федерации </t>
  </si>
  <si>
    <t>Источники финансирования дефицита бюджетов - всего</t>
  </si>
  <si>
    <t>Остатки средств бюджетов</t>
  </si>
  <si>
    <t xml:space="preserve"> </t>
  </si>
  <si>
    <t>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</si>
  <si>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866 02 03</t>
  </si>
  <si>
    <t>866 03 10</t>
  </si>
  <si>
    <t>866 05 03</t>
  </si>
  <si>
    <t>866 10 01</t>
  </si>
  <si>
    <t xml:space="preserve">866 01 04 </t>
  </si>
  <si>
    <t xml:space="preserve">866 05 01 </t>
  </si>
  <si>
    <t>Итого по</t>
  </si>
  <si>
    <t xml:space="preserve">   Штраф Налога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</si>
  <si>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Пеня по Единому сельскохозяйственному налогу, зачисляемый в бюджет поселения</t>
  </si>
  <si>
    <t>Штраф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</si>
  <si>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собственные доходы</t>
  </si>
  <si>
    <t xml:space="preserve"> – создание аварийного запаса материально-технических ресурсов в жилищном хозяйстве за счет обл.ср-в</t>
  </si>
  <si>
    <t>–</t>
  </si>
  <si>
    <t>– 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</si>
  <si>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r>
      <t xml:space="preserve">Пенсионное обеспечение     </t>
    </r>
    <r>
      <rPr>
        <b/>
        <sz val="12"/>
        <rFont val="Arial"/>
        <family val="2"/>
      </rPr>
      <t>Итого:</t>
    </r>
  </si>
  <si>
    <t>Пеня Налога на доходы физических лиц с доходов, полученных физическими лицами, не являющимися налоговыми резидентами Российской Федерации</t>
  </si>
  <si>
    <t>866 05</t>
  </si>
  <si>
    <t xml:space="preserve">– субсидии на финансирование обеспечение расходных обязательств по уплате налогов в связи с отменой налоговых льгот по налогу на имущество организаций и транспортному налогу для бюджетных организаций </t>
  </si>
  <si>
    <t>Прочие расходы</t>
  </si>
  <si>
    <t>182.101020300.12.000.110</t>
  </si>
  <si>
    <t>182.106060131.02.000.110</t>
  </si>
  <si>
    <t>182.106060231.02.000.110</t>
  </si>
  <si>
    <t>182.106060231.03.000.110</t>
  </si>
  <si>
    <t>866.20202999.10.0000.151</t>
  </si>
  <si>
    <t>866.208.05000.10.0000.180</t>
  </si>
  <si>
    <t xml:space="preserve">– субсидии бюджетам муниципальных образований на оказание мер пддержки по плате труда работников бюджетной сферы </t>
  </si>
  <si>
    <t>Уличное освещение</t>
  </si>
  <si>
    <t>– субсидии из резевного фонда местной администраци (Клетнянского района)</t>
  </si>
  <si>
    <t>866.11701050.10.0000.180</t>
  </si>
  <si>
    <t xml:space="preserve"> – субсидии из резевного фонда  исполнительных органов государственной власти субъектов РФ</t>
  </si>
  <si>
    <t xml:space="preserve">   Увеличение стоимости основных средств</t>
  </si>
  <si>
    <t>866 01 13</t>
  </si>
  <si>
    <t xml:space="preserve">866 04 </t>
  </si>
  <si>
    <t>Единый сельскохозяйственный налог, зачисляемый в бюджет поселения (за налоговые периоды истекшие до 1 января 2011 года)</t>
  </si>
  <si>
    <t>866.11303050100000.130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</si>
  <si>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</si>
  <si>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182.105030100.12.000.110</t>
  </si>
  <si>
    <t>182.105030200.11.000.110</t>
  </si>
  <si>
    <t>182.105030200.12.000.110</t>
  </si>
  <si>
    <t>866. 0203. 0013601. 240. 226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</si>
  <si>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</si>
  <si>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Бюджетные инвестиции в объекты капитального строительства собственности муниципальных образований</t>
  </si>
  <si>
    <t>102 01 02</t>
  </si>
  <si>
    <t>182.109040531.01.000.110</t>
  </si>
  <si>
    <t>182.109040531.02.000.110</t>
  </si>
  <si>
    <t>Долгосрочная целевая программа "Животноводство" (2012-2016 годы)</t>
  </si>
  <si>
    <t>795 03 00</t>
  </si>
  <si>
    <t>851.11105013.10.0000.120</t>
  </si>
  <si>
    <t>Увеличение стоимости О.С.</t>
  </si>
  <si>
    <t>866.10804020.011000.110</t>
  </si>
  <si>
    <t>866. 0113. 0900200. 240. 223</t>
  </si>
  <si>
    <t>866. 0113. 0900200. 240. 225</t>
  </si>
  <si>
    <t>Содержание и обслуживание казны муниципального образования</t>
  </si>
  <si>
    <t>182.101020110.12.000.110</t>
  </si>
  <si>
    <t xml:space="preserve">  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</si>
  <si>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 xml:space="preserve">  Пеня не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</si>
  <si>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>866. 0113. 0900100. 240. 226</t>
  </si>
  <si>
    <t>Субсидии бюджетам поселений на ремонт и содержание автомобильных дорог общего пользования местного значения поселений</t>
  </si>
  <si>
    <t>Пособия и компенсации гражданам и иные социальные выплаты, кроме публичных нормативных обязательств</t>
  </si>
  <si>
    <t>00000000000000000000</t>
  </si>
  <si>
    <t>866 01 06</t>
  </si>
  <si>
    <r>
      <t xml:space="preserve">Обеспечение деятельности финансовых, налоговых, таможенных органов и органов финансового (финансово-бюджетного) надзора </t>
    </r>
    <r>
      <rPr>
        <b/>
        <sz val="12"/>
        <rFont val="Arial"/>
        <family val="2"/>
      </rPr>
      <t>Итого:</t>
    </r>
  </si>
  <si>
    <t>182.10102010 01 0000 110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</si>
  <si>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</si>
  <si>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</si>
  <si>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</si>
  <si>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</si>
  <si>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182 10302230 01 0000 110</t>
  </si>
  <si>
    <t>182 10302240 01 0000 110</t>
  </si>
  <si>
    <t>182 10302250 01 0000 110</t>
  </si>
  <si>
    <t>182 10302260 01 0000 110</t>
  </si>
  <si>
    <t>Организация и проведение выборов и референдумов</t>
  </si>
  <si>
    <t>866 01 07</t>
  </si>
  <si>
    <t>Руководство и управление в сфере установленных функций органов местного самоуправления</t>
  </si>
  <si>
    <t>866. 0113. 6601741. 240. 226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</si>
  <si>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</si>
  <si>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</si>
  <si>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Учреждения клубного типа</t>
  </si>
  <si>
    <t>Предоставление  мер социальной поддержки по оплате жилья и коммунальных услуг отдельным категориям граждан, работающих  в учреждениях культуры, находящихся в сельской местности или поселках городского типа на территории Брянской области</t>
  </si>
  <si>
    <t>Ежемесячная доплата к государственной пенсии муниципальным служащим в соответствии с Законом Брянской области от 16.11.2007 года №156-З</t>
  </si>
  <si>
    <t>Иные межбюджетные ассигнования</t>
  </si>
  <si>
    <t>866.20202216.10.0000.151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</si>
  <si>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</si>
  <si>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</si>
  <si>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Перечисления другим бюджетам бюджетной системы Российской Федерации</t>
  </si>
  <si>
    <r>
      <t xml:space="preserve">Массовый спорт                                                         </t>
    </r>
    <r>
      <rPr>
        <b/>
        <sz val="12"/>
        <rFont val="Arial"/>
        <family val="2"/>
      </rPr>
      <t>Итого:</t>
    </r>
  </si>
  <si>
    <t>866 11 02</t>
  </si>
  <si>
    <t>Прочие доходы от компенсации затрат бюджетов сельских поселений</t>
  </si>
  <si>
    <t xml:space="preserve">   Субвенции бюджетам сельских поселений на выполнение передаваемых полномочий субъектов Российской Федерации</t>
  </si>
  <si>
    <t>866 08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</si>
  <si>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</si>
  <si>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 xml:space="preserve">  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</si>
  <si>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r>
      <t xml:space="preserve">Жилищное хозяйство    </t>
    </r>
    <r>
      <rPr>
        <b/>
        <sz val="12"/>
        <rFont val="Arial"/>
        <family val="2"/>
      </rPr>
      <t>Итого:</t>
    </r>
  </si>
  <si>
    <t>Невыясненные поступления, зачисляемые в бюджеты сельских поселений</t>
  </si>
  <si>
    <t xml:space="preserve">Прочие мероприятия по благоустройству 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</si>
  <si>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</si>
  <si>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r>
      <t xml:space="preserve">Дорожное хозяйство(дорожные фонды)                                                 </t>
    </r>
    <r>
      <rPr>
        <b/>
        <sz val="12"/>
        <rFont val="Arial"/>
        <family val="2"/>
      </rPr>
      <t>Итого:</t>
    </r>
  </si>
  <si>
    <t>866 04 09</t>
  </si>
  <si>
    <t xml:space="preserve">   Прочие субсидии бюджетам сельских поселений </t>
  </si>
  <si>
    <t>– Устойчивое развитие сельских территорий(Грантовая поддержка местных инициатив граждан, проживающих в )</t>
  </si>
  <si>
    <t>Субсидии бюджетам сельских поселений на реализацию федеральных целевых программ</t>
  </si>
  <si>
    <t>866.20202051.10.0000.151</t>
  </si>
  <si>
    <t xml:space="preserve"> - субсидия на реализацию мероприятий федеральной целевой программы "Устойчивое развитие сельских территорий на 2014-2017 годы и на период до 2020"</t>
  </si>
  <si>
    <t>866 01</t>
  </si>
  <si>
    <t>866 02</t>
  </si>
  <si>
    <t>Национальная оборона                                                                                                   Итого:</t>
  </si>
  <si>
    <t>866 03</t>
  </si>
  <si>
    <t>Национальная безопасность и правоохранительная деятельность                 Итого:</t>
  </si>
  <si>
    <t xml:space="preserve">866 08 01 </t>
  </si>
  <si>
    <t>Культура                                                            Итого:</t>
  </si>
  <si>
    <t>866 08 04</t>
  </si>
  <si>
    <t>Другие вопросы в области культуры, кинематографии                                             Итого:</t>
  </si>
  <si>
    <t>866 10</t>
  </si>
  <si>
    <t>866 11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</si>
  <si>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</t>
    </r>
    <r>
      <rPr>
        <b/>
        <sz val="12"/>
        <rFont val="Arial"/>
        <family val="2"/>
      </rPr>
      <t>Итого:</t>
    </r>
  </si>
  <si>
    <r>
      <rPr>
        <b/>
        <sz val="12"/>
        <rFont val="Arial"/>
        <family val="2"/>
      </rPr>
      <t>Общегосударственные вопросы</t>
    </r>
    <r>
      <rPr>
        <b/>
        <sz val="10"/>
        <rFont val="Arial"/>
        <family val="2"/>
      </rPr>
      <t xml:space="preserve">                      </t>
    </r>
    <r>
      <rPr>
        <b/>
        <sz val="12"/>
        <rFont val="Arial"/>
        <family val="2"/>
      </rPr>
      <t>Итого:</t>
    </r>
  </si>
  <si>
    <r>
      <t xml:space="preserve">Мобилизационная и вневойсковая подготовка </t>
    </r>
    <r>
      <rPr>
        <b/>
        <sz val="12"/>
        <rFont val="Arial"/>
        <family val="2"/>
      </rPr>
      <t>Итого:</t>
    </r>
  </si>
  <si>
    <r>
      <t xml:space="preserve">Национальная экономика                </t>
    </r>
    <r>
      <rPr>
        <b/>
        <sz val="14"/>
        <rFont val="Arial"/>
        <family val="2"/>
      </rPr>
      <t xml:space="preserve">  Итого:</t>
    </r>
  </si>
  <si>
    <t xml:space="preserve">  Жилищно-коммунальное хозяйство                                                Итого:</t>
  </si>
  <si>
    <t>Физическая культура и спорт        Итого:</t>
  </si>
  <si>
    <t>Социальная политика                     Итого: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</si>
  <si>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</si>
  <si>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Оценка имущества, признание прав и регулирование отношений муниципальной собственности</t>
  </si>
  <si>
    <t>866. 0113. 6601117410. 244. 225</t>
  </si>
  <si>
    <t>Полномочия поселений по формированию архивных фондов, переданные муниципальному району в соответствии с Соглашением</t>
  </si>
  <si>
    <t>Озеленение территории</t>
  </si>
  <si>
    <t>Организация и содержание мест захоронения (кладбищ)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</si>
  <si>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</si>
  <si>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ИТОГО: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</si>
  <si>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</si>
  <si>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 за налоговый период, истекший до 1 января 2011 года)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</si>
  <si>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</si>
  <si>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</si>
  <si>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</si>
  <si>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по ОКПО</t>
  </si>
  <si>
    <t>Наименование бюджета</t>
  </si>
  <si>
    <t>по ОТКМО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</si>
  <si>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</si>
  <si>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</si>
  <si>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</si>
  <si>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</si>
  <si>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</si>
  <si>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</si>
  <si>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</si>
  <si>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</si>
  <si>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</si>
  <si>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</si>
  <si>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</si>
  <si>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</si>
  <si>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</si>
  <si>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</si>
  <si>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</si>
  <si>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</si>
  <si>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</si>
  <si>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</si>
  <si>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</si>
  <si>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</si>
  <si>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</si>
  <si>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</si>
  <si>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</si>
  <si>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121</t>
  </si>
  <si>
    <t>129</t>
  </si>
  <si>
    <t>Расходы по содержанию органов местного самоуправления, всего</t>
  </si>
  <si>
    <t>00200</t>
  </si>
  <si>
    <t xml:space="preserve"> фонд оплаты труда  государственных (муниципальных) органов</t>
  </si>
  <si>
    <t>00210</t>
  </si>
  <si>
    <t xml:space="preserve"> взносы по обязательному    социальному страхованию на  выплаты денежного содержания   и иные выплаты работникам  государственных  (муниципальных) органов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</si>
  <si>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</si>
  <si>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Федерации(ВОЕНКОМАТ)</t>
  </si>
  <si>
    <t>00270</t>
  </si>
  <si>
    <t xml:space="preserve"> фонд оплаты труда
государственн  (муниципальных) органов</t>
  </si>
  <si>
    <t>00240</t>
  </si>
  <si>
    <t xml:space="preserve"> взносы по обязательному   социальному страхованию на 
 выплаты денежного содержания и иные выплаты работникам  государственных (муниципальных) органов</t>
  </si>
  <si>
    <t>00260</t>
  </si>
  <si>
    <t>из них: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</si>
  <si>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</si>
  <si>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</si>
  <si>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</si>
  <si>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</si>
  <si>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</si>
  <si>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</si>
  <si>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</si>
  <si>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</si>
  <si>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r>
      <rPr>
        <b/>
        <sz val="10"/>
        <rFont val="Arial Cyr"/>
        <family val="0"/>
      </rPr>
      <t>капитальный ремонт и ремонт</t>
    </r>
    <r>
      <rPr>
        <sz val="10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</si>
  <si>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0"/>
        <rFont val="Arial Cyr"/>
        <family val="0"/>
      </rPr>
      <t xml:space="preserve">содержание  </t>
    </r>
    <r>
      <rPr>
        <sz val="10"/>
        <rFont val="Arial Cyr"/>
        <family val="2"/>
      </rPr>
      <t>сети автомобильных дорог общего пользования и искусственных сооружений на них</t>
    </r>
  </si>
  <si>
    <t>Расходы дорожных фондов</t>
  </si>
  <si>
    <t>02530</t>
  </si>
  <si>
    <t>02536</t>
  </si>
  <si>
    <t>02538</t>
  </si>
  <si>
    <t>Поддержка жилищного хозяйства, всего</t>
  </si>
  <si>
    <t>02800</t>
  </si>
  <si>
    <t>0501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</si>
  <si>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</si>
  <si>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</si>
  <si>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</si>
  <si>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</si>
  <si>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</si>
  <si>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</si>
  <si>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</si>
  <si>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</si>
  <si>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</si>
  <si>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</si>
  <si>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</si>
  <si>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</si>
  <si>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(подпись)</t>
  </si>
  <si>
    <t>(расшифровка подписи)</t>
  </si>
  <si>
    <t>866 04 06</t>
  </si>
  <si>
    <t>182 1 06 06033 10 0000 110</t>
  </si>
  <si>
    <t>182 1 06 06043 10 0000 110</t>
  </si>
  <si>
    <t>866 1 08 04020 01 0000 110</t>
  </si>
  <si>
    <t>866 1 11 05035 10 0000 120</t>
  </si>
  <si>
    <t>866 1 13 02995 10 0000 130</t>
  </si>
  <si>
    <t>Водное хозяйство</t>
  </si>
  <si>
    <t>00 0 00 14210</t>
  </si>
  <si>
    <t>866.0804.0000014210.540.251</t>
  </si>
  <si>
    <t>182 1 05 03010 01 4000 110</t>
  </si>
  <si>
    <t>182 1 01 02010 01 0000 110</t>
  </si>
  <si>
    <t>182 1 06 01030 10 0000 110</t>
  </si>
  <si>
    <t>Капитальные вложения</t>
  </si>
  <si>
    <t>12500</t>
  </si>
  <si>
    <t>Мероприятия в области водного хозяйства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</si>
  <si>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</si>
  <si>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</si>
  <si>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</si>
  <si>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866. 0113. 6601180920. 244. 223</t>
  </si>
  <si>
    <t>866. 0409. 6601483740. 244. 226</t>
  </si>
  <si>
    <t>866. 0503. 6601581690. 244. 223</t>
  </si>
  <si>
    <t>66 0 17 82450</t>
  </si>
  <si>
    <t>66 0 15 81730</t>
  </si>
  <si>
    <t>66 0 11 80920</t>
  </si>
  <si>
    <t>182 1 05 03010 01 0000 110</t>
  </si>
  <si>
    <t>Информационное обеспечение деятельности органов местного самоуправления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</si>
  <si>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</si>
  <si>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66 0 11 80930</t>
  </si>
  <si>
    <t>866. 0409. 6601483740. 244. 340</t>
  </si>
  <si>
    <t>866. 0113. 6601180930. 851. 291</t>
  </si>
  <si>
    <t>866. 0104. 6601180040. 853. 291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</si>
  <si>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</si>
  <si>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</si>
  <si>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70 0 00 80060</t>
  </si>
  <si>
    <t>Специальные расходы</t>
  </si>
  <si>
    <t>866 2 02 15002 10 0000 150</t>
  </si>
  <si>
    <t>866 2 02 35118 10 0000 150</t>
  </si>
  <si>
    <t>866 2 02 40014 10 0000 150</t>
  </si>
  <si>
    <t xml:space="preserve">   Увеличение стоимости горюче-смазочных материалов</t>
  </si>
  <si>
    <t xml:space="preserve">   Увеличение стоимости прочих оборотных запасов (материалов) </t>
  </si>
  <si>
    <t>866 20230024 10 0000 150</t>
  </si>
  <si>
    <t>866. 0503. 6601581730. 244. 310</t>
  </si>
  <si>
    <t>866. 0801. 6601680480.244. 225</t>
  </si>
  <si>
    <t>66 0 16 80480</t>
  </si>
  <si>
    <t>00001000000000000000</t>
  </si>
  <si>
    <t>00001050201100000510</t>
  </si>
  <si>
    <t>00001050201000000510</t>
  </si>
  <si>
    <t>Увеличение ппрочих остатков денежных средств бюджетов сельских поселений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</si>
  <si>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</si>
  <si>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</si>
  <si>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</si>
  <si>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00001050201100000610</t>
  </si>
  <si>
    <t>00001050201000000610</t>
  </si>
  <si>
    <t xml:space="preserve">  Пособие за первые три дня временной нетрудоспособности за счет средств работодателя в случае заболевания или травмы</t>
  </si>
  <si>
    <t>866. 0107. 7000080060. 880. 297</t>
  </si>
  <si>
    <t>12510</t>
  </si>
  <si>
    <t>(местного</t>
  </si>
  <si>
    <t>самоуправления)</t>
  </si>
  <si>
    <t>на</t>
  </si>
  <si>
    <t>приобретение</t>
  </si>
  <si>
    <t>(изготовление)</t>
  </si>
  <si>
    <t>объектов</t>
  </si>
  <si>
    <t>относящихся</t>
  </si>
  <si>
    <t>к</t>
  </si>
  <si>
    <t>основным</t>
  </si>
  <si>
    <t>средствам</t>
  </si>
  <si>
    <t>в</t>
  </si>
  <si>
    <t>рамках</t>
  </si>
  <si>
    <t>содержания</t>
  </si>
  <si>
    <t>и</t>
  </si>
  <si>
    <t>функционирования</t>
  </si>
  <si>
    <t>211</t>
  </si>
  <si>
    <t>866.11406025.10.0000.430</t>
  </si>
  <si>
    <t xml:space="preserve">Доходы от продажи земельных участков, находящихся в собственности сельских поселений 
(за исключением земельных участков муниципальных бюджетных и автономных учреждений)
(за исключением земельных участков муниципальных бюджетных и автономных учреждений)
</t>
  </si>
  <si>
    <t>866 113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</si>
  <si>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</si>
  <si>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Глава администрации</t>
  </si>
  <si>
    <t>Администрация Надвинского сельского поселения</t>
  </si>
  <si>
    <t>Надвинского сельского поселения Клетнянского муниципального района Брянской области</t>
  </si>
  <si>
    <t xml:space="preserve">Администрация Надвинского сельского поселения                                                                                                                                                                         </t>
  </si>
  <si>
    <t>800 40</t>
  </si>
  <si>
    <t>800 40 120</t>
  </si>
  <si>
    <t>Страхование</t>
  </si>
  <si>
    <t>12580</t>
  </si>
  <si>
    <t xml:space="preserve">      Библиотеки</t>
  </si>
  <si>
    <t>866 2 02 16001 10 0000 150</t>
  </si>
  <si>
    <t>866 04 12</t>
  </si>
  <si>
    <t>Другие вопросы в области национальной экономики                                 Итого:</t>
  </si>
  <si>
    <t>Разработка и внесение изменений в схему территориального планироввания</t>
  </si>
  <si>
    <t>иные расходы на приобретение (изготовление) объектов относящихся к основным средствам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</si>
  <si>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</si>
  <si>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866. 0503. 6601581710. 244. 310</t>
  </si>
  <si>
    <t>866. 0503. 6601581710. 244. 346</t>
  </si>
  <si>
    <t>66 0 11 80900 850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</si>
  <si>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</si>
  <si>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</si>
  <si>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866. 0113.6601180900. 853. 297</t>
  </si>
  <si>
    <t>866. 0503. 6601581730. 244. 226</t>
  </si>
  <si>
    <t>Сеничкина А.П</t>
  </si>
  <si>
    <t>Услуги связи</t>
  </si>
  <si>
    <t>182 1 01 02020 01 1000 110</t>
  </si>
  <si>
    <t>18 2 101 02030 01 1000 110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</si>
  <si>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 Налогового кодекса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</si>
  <si>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</si>
  <si>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866.11607010100000140</t>
  </si>
  <si>
    <t xml:space="preserve"> 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</si>
  <si>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</si>
  <si>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  налог с организаций, обладающих земельным участком, расположенным в границах сельских поселений</t>
  </si>
  <si>
    <t>Земельный   налог с физических лиц, обладающих земельным участком, расположенным в границах сельских поселений</t>
  </si>
  <si>
    <t xml:space="preserve"> Земельный налог (по обязательствам, возникшим  до 1 января 2006 года), мобилизуемый на  территориях поселений</t>
  </si>
  <si>
    <t>Пеня на земельный налог (по обязательствам, возникшим  до 1 января 2006 года), мобилизуемый на  территориях поселений</t>
  </si>
  <si>
    <t>Доходы от сдачи в аренду имущества, находящегося в оперативном управлении органов государственной власти, органов управления сельских поселений и созданных ими учреждений и в хозяйственном ведении муниципальных унитарных предприятий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</si>
  <si>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</si>
  <si>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</si>
  <si>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Заработная плата</t>
  </si>
  <si>
    <t>Культура, кинематография            Итого:</t>
  </si>
  <si>
    <t>Благоустройство                             Итого:</t>
  </si>
  <si>
    <t>Обеспечение пожарной безопасности Итого:</t>
  </si>
  <si>
    <t>Другие общегосударственные вопросы  Итого:</t>
  </si>
  <si>
    <t>866. 0104. 6640180020. 121. 211</t>
  </si>
  <si>
    <t>866. 0104. 6640180020. 121. 266</t>
  </si>
  <si>
    <t>866. 0104. 6640180020. 129. 213</t>
  </si>
  <si>
    <t>66 4 01 80020</t>
  </si>
  <si>
    <t>66 4 01 80040</t>
  </si>
  <si>
    <t>866. 0104. 6640180040. 121. 211</t>
  </si>
  <si>
    <t>866. 0104. 6640180040. 121. 266</t>
  </si>
  <si>
    <t>866. 0104. 6640180040. 129. 213</t>
  </si>
  <si>
    <t>866. 0104. 6640180040. 244. 221</t>
  </si>
  <si>
    <t>866. 0104. 6640180040. 244. 223</t>
  </si>
  <si>
    <t>866.0104.6640180040.247.223</t>
  </si>
  <si>
    <t>866. 0104. 6640180040. 244. 225</t>
  </si>
  <si>
    <t>866. 0104. 6640180040. 244. 226</t>
  </si>
  <si>
    <t>866. 0104. 6640180040. 244. 227</t>
  </si>
  <si>
    <t>866. 0104. 6640180040. 244. 310</t>
  </si>
  <si>
    <t>866. 0104. 6640180040. 244. 343</t>
  </si>
  <si>
    <t>866. 0104. 6640180040. 244. 346</t>
  </si>
  <si>
    <t>866. 0104. 6640180040. 244</t>
  </si>
  <si>
    <t>66 4 01 80040 850</t>
  </si>
  <si>
    <t>866. 0104. 6640180040. 851. 291</t>
  </si>
  <si>
    <t>866. 0104. 6640180040. 852. 291</t>
  </si>
  <si>
    <t>66 4 01 80070</t>
  </si>
  <si>
    <t>866. 0104. 6640180070. 244. 226</t>
  </si>
  <si>
    <t>866.0104.6640180100.244.226</t>
  </si>
  <si>
    <t>66 4 01 81410</t>
  </si>
  <si>
    <t>866. 0104. 6640181410. 853. 297</t>
  </si>
  <si>
    <t>66 4 01 84200</t>
  </si>
  <si>
    <t>866. 0106. 6640184200. 540. 251</t>
  </si>
  <si>
    <t>66 4 01 84400</t>
  </si>
  <si>
    <t>866. 0106. 6640184400. 540. 251</t>
  </si>
  <si>
    <t>66 4 01 80900</t>
  </si>
  <si>
    <t>866. 0113.6640180900. 244. 226</t>
  </si>
  <si>
    <t>66 4 01 84220</t>
  </si>
  <si>
    <t>866. 0113.6640184220. 540. 251</t>
  </si>
  <si>
    <t>66 4 02 51180</t>
  </si>
  <si>
    <t>866. 0203. 6640251180. 121. 211</t>
  </si>
  <si>
    <t>866. 0203. 6640251180. 129. 213</t>
  </si>
  <si>
    <t>866. 0203. 6640251180.244. 310</t>
  </si>
  <si>
    <t>866. 0203. 6640251180. 244. 346</t>
  </si>
  <si>
    <t>66 4 03 81140</t>
  </si>
  <si>
    <t>866. 0310. 6640381140. 244. 226</t>
  </si>
  <si>
    <t>866. 0310.6640381140. 244. 346</t>
  </si>
  <si>
    <t>66 4 09 83300</t>
  </si>
  <si>
    <t>866. 0406. 6640983300. 244. 227</t>
  </si>
  <si>
    <t>66 4 04 83740</t>
  </si>
  <si>
    <t>66 4 09 80950</t>
  </si>
  <si>
    <t>866. 0412. 6640980950. 244. 226</t>
  </si>
  <si>
    <t>66 4 05 83760</t>
  </si>
  <si>
    <t>866. 0501. 6640583760. 244. 346</t>
  </si>
  <si>
    <t>66 4 05 81690</t>
  </si>
  <si>
    <t>866. 0503 .6640581690. 247. 223</t>
  </si>
  <si>
    <t>866. 0503. 6640581690. 244. 225</t>
  </si>
  <si>
    <t>866. 0503. 6640581690. 244. 226</t>
  </si>
  <si>
    <t>866. 0503. 6640581690. 244. 346</t>
  </si>
  <si>
    <t>866. 0503. 6640581690. 244. 310</t>
  </si>
  <si>
    <t>66 4 05 81700</t>
  </si>
  <si>
    <t>866. 0503. 6640581700. 244. 226</t>
  </si>
  <si>
    <t>66 4 05 81710</t>
  </si>
  <si>
    <t>866. 0503. 6640581710. 244. 223</t>
  </si>
  <si>
    <t>66 4 06 80450</t>
  </si>
  <si>
    <t>866. 0801. 6640680450.247. 223</t>
  </si>
  <si>
    <t>866. 0801. 6640680450.244. 225</t>
  </si>
  <si>
    <t>66 4 08 84290</t>
  </si>
  <si>
    <t>866. 1102. 6640884290. 540. 251</t>
  </si>
  <si>
    <t>866. 0203. 6640251180. 121. 266</t>
  </si>
  <si>
    <t>182 1 06 01030 10 2000 110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</si>
  <si>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</si>
  <si>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866 11402053 10 0000410</t>
  </si>
  <si>
    <t>866. 1001. 6640782450. 312. 264</t>
  </si>
  <si>
    <t>Реализация мероприятий федеральной целевой программы "Увековечение памяти погибших при защите Отечества на 2019-2024 годы"</t>
  </si>
  <si>
    <t>866.0503.66410L2990.244. 226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</si>
  <si>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</si>
  <si>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</si>
  <si>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866 2 02 25299 10 0000 150</t>
  </si>
  <si>
    <t xml:space="preserve">Глава администрации____________________ Сеничкина А.П.
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</si>
  <si>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</t>
  </si>
  <si>
    <t>866. 0801. 6640680480.851. 291</t>
  </si>
  <si>
    <t>866.0113.6640184460.540.251</t>
  </si>
  <si>
    <t>866. 0503. 6640581710. 244. 225</t>
  </si>
  <si>
    <t>на 01.05.2023 года</t>
  </si>
  <si>
    <t>866. 0409. 6640983740. 244. 225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</si>
</sst>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117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 Cyr"/>
      <family val="0"/>
    </font>
    <font>
      <b/>
      <sz val="10.5"/>
      <name val="Arial"/>
      <family val="2"/>
    </font>
    <font>
      <b/>
      <sz val="11"/>
      <name val="Arial Cyr"/>
      <family val="0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.5"/>
      <name val="Berlin Sans FB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2"/>
      <name val="Arial Cyr"/>
      <family val="0"/>
    </font>
    <font>
      <sz val="7"/>
      <name val="Arial Cyr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2"/>
      <name val="Berlin Sans FB"/>
      <family val="2"/>
    </font>
    <font>
      <sz val="12"/>
      <name val="Cambria"/>
      <family val="1"/>
    </font>
    <font>
      <b/>
      <sz val="8"/>
      <name val="Arial Cyr"/>
      <family val="2"/>
    </font>
    <font>
      <b/>
      <i/>
      <sz val="11"/>
      <name val="Berlin Sans FB"/>
      <family val="2"/>
    </font>
    <font>
      <sz val="10"/>
      <name val="Times New Roman"/>
      <family val="1"/>
    </font>
    <font>
      <sz val="10"/>
      <name val="Book Antiqua"/>
      <family val="1"/>
    </font>
    <font>
      <b/>
      <i/>
      <sz val="12"/>
      <name val="Berlin Sans FB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9" fillId="0" borderId="1">
      <alignment horizontal="left" wrapText="1"/>
      <protection/>
    </xf>
    <xf numFmtId="0" fontId="89" fillId="0" borderId="2">
      <alignment horizontal="left" wrapText="1"/>
      <protection/>
    </xf>
    <xf numFmtId="0" fontId="89" fillId="0" borderId="3">
      <alignment horizontal="center"/>
      <protection/>
    </xf>
    <xf numFmtId="49" fontId="89" fillId="0" borderId="0">
      <alignment/>
      <protection/>
    </xf>
    <xf numFmtId="49" fontId="90" fillId="0" borderId="0">
      <alignment/>
      <protection/>
    </xf>
    <xf numFmtId="49" fontId="90" fillId="19" borderId="0">
      <alignment/>
      <protection/>
    </xf>
    <xf numFmtId="49" fontId="90" fillId="0" borderId="4">
      <alignment horizontal="center" vertical="center" wrapText="1"/>
      <protection/>
    </xf>
    <xf numFmtId="49" fontId="91" fillId="0" borderId="4">
      <alignment horizontal="center" vertical="center" wrapText="1"/>
      <protection/>
    </xf>
    <xf numFmtId="0" fontId="89" fillId="0" borderId="4">
      <alignment horizontal="center" vertical="center"/>
      <protection/>
    </xf>
    <xf numFmtId="4" fontId="90" fillId="0" borderId="4">
      <alignment horizontal="right" vertical="center" shrinkToFit="1"/>
      <protection/>
    </xf>
    <xf numFmtId="4" fontId="90" fillId="0" borderId="5">
      <alignment horizontal="right" vertical="center" shrinkToFit="1"/>
      <protection/>
    </xf>
    <xf numFmtId="4" fontId="90" fillId="0" borderId="6">
      <alignment horizontal="right" vertical="center" shrinkToFit="1"/>
      <protection/>
    </xf>
    <xf numFmtId="4" fontId="90" fillId="0" borderId="4">
      <alignment horizontal="center" vertical="center" shrinkToFit="1"/>
      <protection/>
    </xf>
    <xf numFmtId="4" fontId="90" fillId="0" borderId="6">
      <alignment horizontal="center" vertical="center" shrinkToFit="1"/>
      <protection/>
    </xf>
    <xf numFmtId="4" fontId="90" fillId="0" borderId="5">
      <alignment horizontal="center" vertical="center" shrinkToFit="1"/>
      <protection/>
    </xf>
    <xf numFmtId="0" fontId="90" fillId="19" borderId="3">
      <alignment horizontal="right" vertical="center" shrinkToFit="1"/>
      <protection/>
    </xf>
    <xf numFmtId="0" fontId="92" fillId="0" borderId="0">
      <alignment vertical="center"/>
      <protection/>
    </xf>
    <xf numFmtId="0" fontId="89" fillId="19" borderId="0">
      <alignment/>
      <protection/>
    </xf>
    <xf numFmtId="49" fontId="91" fillId="0" borderId="4">
      <alignment horizontal="center" vertical="center" wrapText="1"/>
      <protection/>
    </xf>
    <xf numFmtId="0" fontId="93" fillId="0" borderId="1">
      <alignment/>
      <protection/>
    </xf>
    <xf numFmtId="0" fontId="93" fillId="0" borderId="3">
      <alignment/>
      <protection/>
    </xf>
    <xf numFmtId="0" fontId="94" fillId="0" borderId="0">
      <alignment horizontal="center" vertical="center" wrapText="1"/>
      <protection/>
    </xf>
    <xf numFmtId="0" fontId="89" fillId="0" borderId="0">
      <alignment horizontal="center"/>
      <protection/>
    </xf>
    <xf numFmtId="0" fontId="89" fillId="0" borderId="3">
      <alignment horizontal="center" vertical="center"/>
      <protection/>
    </xf>
    <xf numFmtId="0" fontId="91" fillId="0" borderId="4">
      <alignment horizontal="center" vertical="center" wrapText="1"/>
      <protection/>
    </xf>
    <xf numFmtId="0" fontId="89" fillId="0" borderId="0">
      <alignment horizontal="center"/>
      <protection/>
    </xf>
    <xf numFmtId="0" fontId="90" fillId="0" borderId="3">
      <alignment horizontal="right" vertical="center" shrinkToFit="1"/>
      <protection/>
    </xf>
    <xf numFmtId="0" fontId="95" fillId="0" borderId="0">
      <alignment/>
      <protection/>
    </xf>
    <xf numFmtId="0" fontId="90" fillId="0" borderId="3">
      <alignment horizontal="center" vertical="center"/>
      <protection/>
    </xf>
    <xf numFmtId="49" fontId="89" fillId="0" borderId="0">
      <alignment horizontal="center" vertical="center" wrapText="1"/>
      <protection/>
    </xf>
    <xf numFmtId="0" fontId="89" fillId="0" borderId="3">
      <alignment horizontal="center" vertical="center"/>
      <protection/>
    </xf>
    <xf numFmtId="0" fontId="89" fillId="0" borderId="0">
      <alignment horizontal="center" vertical="center"/>
      <protection/>
    </xf>
    <xf numFmtId="49" fontId="90" fillId="0" borderId="3">
      <alignment horizontal="right" vertical="center" shrinkToFit="1"/>
      <protection/>
    </xf>
    <xf numFmtId="0" fontId="92" fillId="0" borderId="7">
      <alignment vertical="center"/>
      <protection/>
    </xf>
    <xf numFmtId="0" fontId="92" fillId="0" borderId="8">
      <alignment vertical="center"/>
      <protection/>
    </xf>
    <xf numFmtId="0" fontId="96" fillId="0" borderId="0">
      <alignment/>
      <protection/>
    </xf>
    <xf numFmtId="0" fontId="92" fillId="0" borderId="9">
      <alignment vertical="center"/>
      <protection/>
    </xf>
    <xf numFmtId="0" fontId="93" fillId="0" borderId="9">
      <alignment/>
      <protection/>
    </xf>
    <xf numFmtId="0" fontId="97" fillId="0" borderId="0">
      <alignment/>
      <protection/>
    </xf>
    <xf numFmtId="0" fontId="94" fillId="0" borderId="7">
      <alignment horizontal="center" vertical="center" wrapText="1"/>
      <protection/>
    </xf>
    <xf numFmtId="0" fontId="90" fillId="0" borderId="10">
      <alignment horizontal="center" vertical="center"/>
      <protection/>
    </xf>
    <xf numFmtId="0" fontId="90" fillId="0" borderId="7">
      <alignment horizontal="center" vertical="center"/>
      <protection/>
    </xf>
    <xf numFmtId="0" fontId="89" fillId="0" borderId="1">
      <alignment horizontal="center" vertical="center"/>
      <protection/>
    </xf>
    <xf numFmtId="0" fontId="89" fillId="0" borderId="0">
      <alignment horizontal="left" vertical="center"/>
      <protection/>
    </xf>
    <xf numFmtId="0" fontId="94" fillId="0" borderId="0">
      <alignment horizontal="left" vertical="center" wrapText="1"/>
      <protection/>
    </xf>
    <xf numFmtId="0" fontId="90" fillId="0" borderId="0">
      <alignment horizontal="left" vertical="center"/>
      <protection/>
    </xf>
    <xf numFmtId="0" fontId="90" fillId="0" borderId="0">
      <alignment horizontal="left" vertical="center"/>
      <protection/>
    </xf>
    <xf numFmtId="0" fontId="90" fillId="0" borderId="0">
      <alignment horizontal="center" vertical="center"/>
      <protection/>
    </xf>
    <xf numFmtId="0" fontId="90" fillId="0" borderId="11">
      <alignment horizontal="center" vertical="center" wrapText="1"/>
      <protection/>
    </xf>
    <xf numFmtId="0" fontId="90" fillId="0" borderId="11">
      <alignment horizontal="center" vertical="center"/>
      <protection/>
    </xf>
    <xf numFmtId="49" fontId="98" fillId="0" borderId="12">
      <alignment horizontal="left" vertical="center" wrapText="1"/>
      <protection/>
    </xf>
    <xf numFmtId="0" fontId="90" fillId="0" borderId="13">
      <alignment horizontal="left" vertical="center" wrapText="1"/>
      <protection/>
    </xf>
    <xf numFmtId="0" fontId="90" fillId="0" borderId="14">
      <alignment horizontal="left" vertical="center" wrapText="1"/>
      <protection/>
    </xf>
    <xf numFmtId="0" fontId="90" fillId="0" borderId="12">
      <alignment horizontal="left" vertical="center" wrapText="1"/>
      <protection/>
    </xf>
    <xf numFmtId="0" fontId="98" fillId="0" borderId="12">
      <alignment horizontal="left" vertical="center" wrapText="1"/>
      <protection/>
    </xf>
    <xf numFmtId="49" fontId="90" fillId="0" borderId="12">
      <alignment horizontal="left" vertical="center" wrapText="1"/>
      <protection/>
    </xf>
    <xf numFmtId="49" fontId="90" fillId="0" borderId="12">
      <alignment horizontal="left" vertical="center" wrapText="1" indent="1"/>
      <protection/>
    </xf>
    <xf numFmtId="49" fontId="99" fillId="0" borderId="12">
      <alignment horizontal="left" vertical="center" wrapText="1" indent="1"/>
      <protection/>
    </xf>
    <xf numFmtId="0" fontId="90" fillId="0" borderId="12">
      <alignment horizontal="left" vertical="center" wrapText="1" indent="2"/>
      <protection/>
    </xf>
    <xf numFmtId="49" fontId="90" fillId="0" borderId="12">
      <alignment horizontal="left" vertical="center" wrapText="1" indent="2"/>
      <protection/>
    </xf>
    <xf numFmtId="49" fontId="98" fillId="0" borderId="12">
      <alignment vertical="center" wrapText="1"/>
      <protection/>
    </xf>
    <xf numFmtId="0" fontId="100" fillId="0" borderId="12">
      <alignment wrapText="1"/>
      <protection/>
    </xf>
    <xf numFmtId="49" fontId="98" fillId="0" borderId="12">
      <alignment horizontal="left" vertical="center" wrapText="1" indent="1"/>
      <protection/>
    </xf>
    <xf numFmtId="49" fontId="90" fillId="0" borderId="12">
      <alignment horizontal="left" vertical="center" wrapText="1" indent="3"/>
      <protection/>
    </xf>
    <xf numFmtId="0" fontId="90" fillId="0" borderId="12">
      <alignment horizontal="left" vertical="center" wrapText="1" indent="1"/>
      <protection/>
    </xf>
    <xf numFmtId="49" fontId="101" fillId="0" borderId="12">
      <alignment horizontal="left" vertical="center" wrapText="1"/>
      <protection/>
    </xf>
    <xf numFmtId="49" fontId="90" fillId="0" borderId="12">
      <alignment vertical="center" wrapText="1"/>
      <protection/>
    </xf>
    <xf numFmtId="49" fontId="99" fillId="0" borderId="12">
      <alignment horizontal="left" vertical="center" wrapText="1"/>
      <protection/>
    </xf>
    <xf numFmtId="49" fontId="98" fillId="0" borderId="15">
      <alignment horizontal="left" vertical="center" wrapText="1"/>
      <protection/>
    </xf>
    <xf numFmtId="49" fontId="90" fillId="19" borderId="16">
      <alignment horizontal="left" vertical="center" wrapText="1"/>
      <protection/>
    </xf>
    <xf numFmtId="0" fontId="97" fillId="0" borderId="0">
      <alignment vertical="center"/>
      <protection/>
    </xf>
    <xf numFmtId="0" fontId="97" fillId="0" borderId="3">
      <alignment vertical="center"/>
      <protection/>
    </xf>
    <xf numFmtId="0" fontId="93" fillId="0" borderId="0">
      <alignment/>
      <protection/>
    </xf>
    <xf numFmtId="0" fontId="90" fillId="0" borderId="0">
      <alignment/>
      <protection/>
    </xf>
    <xf numFmtId="0" fontId="90" fillId="0" borderId="0">
      <alignment vertical="center"/>
      <protection/>
    </xf>
    <xf numFmtId="0" fontId="89" fillId="0" borderId="0">
      <alignment vertical="center"/>
      <protection/>
    </xf>
    <xf numFmtId="0" fontId="89" fillId="19" borderId="0">
      <alignment vertical="center"/>
      <protection/>
    </xf>
    <xf numFmtId="0" fontId="97" fillId="0" borderId="1">
      <alignment horizontal="left" vertical="center"/>
      <protection/>
    </xf>
    <xf numFmtId="0" fontId="97" fillId="0" borderId="4">
      <alignment horizontal="left" vertical="center" wrapText="1"/>
      <protection/>
    </xf>
    <xf numFmtId="0" fontId="97" fillId="0" borderId="3">
      <alignment horizontal="left" vertical="center"/>
      <protection/>
    </xf>
    <xf numFmtId="0" fontId="90" fillId="0" borderId="0">
      <alignment horizontal="center" vertical="center"/>
      <protection/>
    </xf>
    <xf numFmtId="49" fontId="98" fillId="0" borderId="0">
      <alignment horizontal="center" vertical="center" wrapText="1"/>
      <protection/>
    </xf>
    <xf numFmtId="0" fontId="90" fillId="0" borderId="4">
      <alignment horizontal="center" vertical="center" wrapText="1"/>
      <protection/>
    </xf>
    <xf numFmtId="0" fontId="90" fillId="0" borderId="4">
      <alignment horizontal="center" vertical="center"/>
      <protection/>
    </xf>
    <xf numFmtId="49" fontId="98" fillId="0" borderId="4">
      <alignment horizontal="center" vertical="center" wrapText="1"/>
      <protection/>
    </xf>
    <xf numFmtId="49" fontId="90" fillId="0" borderId="5">
      <alignment horizontal="center" vertical="center"/>
      <protection/>
    </xf>
    <xf numFmtId="49" fontId="90" fillId="0" borderId="6">
      <alignment horizontal="center" vertical="center"/>
      <protection/>
    </xf>
    <xf numFmtId="49" fontId="90" fillId="0" borderId="4">
      <alignment horizontal="center" vertical="center"/>
      <protection/>
    </xf>
    <xf numFmtId="0" fontId="89" fillId="0" borderId="5">
      <alignment/>
      <protection/>
    </xf>
    <xf numFmtId="49" fontId="98" fillId="0" borderId="4">
      <alignment horizontal="center" vertical="center"/>
      <protection/>
    </xf>
    <xf numFmtId="49" fontId="98" fillId="0" borderId="5">
      <alignment horizontal="center" vertical="center" wrapText="1"/>
      <protection/>
    </xf>
    <xf numFmtId="49" fontId="90" fillId="0" borderId="6">
      <alignment horizontal="center" vertical="center" wrapText="1"/>
      <protection/>
    </xf>
    <xf numFmtId="49" fontId="90" fillId="0" borderId="4">
      <alignment horizontal="center" vertical="center" wrapText="1"/>
      <protection/>
    </xf>
    <xf numFmtId="49" fontId="98" fillId="0" borderId="5">
      <alignment horizontal="center" vertical="center"/>
      <protection/>
    </xf>
    <xf numFmtId="0" fontId="90" fillId="0" borderId="5">
      <alignment horizontal="center" vertical="center"/>
      <protection/>
    </xf>
    <xf numFmtId="0" fontId="90" fillId="0" borderId="6">
      <alignment horizontal="center" vertical="center"/>
      <protection/>
    </xf>
    <xf numFmtId="49" fontId="98" fillId="0" borderId="6">
      <alignment horizontal="left" vertical="center"/>
      <protection/>
    </xf>
    <xf numFmtId="49" fontId="98" fillId="0" borderId="6">
      <alignment horizontal="center" vertical="center"/>
      <protection/>
    </xf>
    <xf numFmtId="49" fontId="90" fillId="0" borderId="3">
      <alignment horizontal="center" vertical="center"/>
      <protection/>
    </xf>
    <xf numFmtId="0" fontId="92" fillId="0" borderId="0">
      <alignment horizontal="center" vertical="center"/>
      <protection/>
    </xf>
    <xf numFmtId="0" fontId="89" fillId="0" borderId="0">
      <alignment/>
      <protection/>
    </xf>
    <xf numFmtId="0" fontId="90" fillId="19" borderId="0">
      <alignment/>
      <protection/>
    </xf>
    <xf numFmtId="0" fontId="94" fillId="0" borderId="0">
      <alignment horizontal="center" vertical="center" wrapText="1"/>
      <protection/>
    </xf>
    <xf numFmtId="0" fontId="89" fillId="0" borderId="0">
      <alignment horizontal="center" vertical="center"/>
      <protection/>
    </xf>
    <xf numFmtId="0" fontId="90" fillId="0" borderId="4">
      <alignment horizontal="center" vertical="center" wrapText="1"/>
      <protection/>
    </xf>
    <xf numFmtId="0" fontId="90" fillId="0" borderId="4">
      <alignment horizontal="center" vertical="center" wrapText="1"/>
      <protection/>
    </xf>
    <xf numFmtId="0" fontId="90" fillId="0" borderId="5">
      <alignment horizontal="center" vertical="center" wrapText="1"/>
      <protection/>
    </xf>
    <xf numFmtId="0" fontId="90" fillId="0" borderId="6">
      <alignment horizontal="center" vertical="center" wrapText="1"/>
      <protection/>
    </xf>
    <xf numFmtId="49" fontId="90" fillId="0" borderId="5">
      <alignment horizontal="center" vertical="center" wrapText="1"/>
      <protection/>
    </xf>
    <xf numFmtId="49" fontId="98" fillId="0" borderId="6">
      <alignment horizontal="left" vertical="center" wrapText="1"/>
      <protection/>
    </xf>
    <xf numFmtId="49" fontId="98" fillId="0" borderId="6">
      <alignment horizontal="center" vertical="center" wrapText="1"/>
      <protection/>
    </xf>
    <xf numFmtId="49" fontId="90" fillId="0" borderId="3">
      <alignment horizontal="center" vertical="center" wrapText="1"/>
      <protection/>
    </xf>
    <xf numFmtId="0" fontId="90" fillId="0" borderId="0">
      <alignment horizontal="center" vertical="center"/>
      <protection/>
    </xf>
    <xf numFmtId="0" fontId="90" fillId="19" borderId="0">
      <alignment horizontal="center" vertical="center"/>
      <protection/>
    </xf>
    <xf numFmtId="49" fontId="90" fillId="0" borderId="5">
      <alignment horizontal="left" vertical="center"/>
      <protection/>
    </xf>
    <xf numFmtId="0" fontId="89" fillId="0" borderId="1">
      <alignment horizontal="center"/>
      <protection/>
    </xf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02" fillId="26" borderId="17" applyNumberFormat="0" applyAlignment="0" applyProtection="0"/>
    <xf numFmtId="0" fontId="103" fillId="27" borderId="18" applyNumberFormat="0" applyAlignment="0" applyProtection="0"/>
    <xf numFmtId="0" fontId="104" fillId="27" borderId="17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5" fillId="0" borderId="19" applyNumberFormat="0" applyFill="0" applyAlignment="0" applyProtection="0"/>
    <xf numFmtId="0" fontId="106" fillId="0" borderId="20" applyNumberFormat="0" applyFill="0" applyAlignment="0" applyProtection="0"/>
    <xf numFmtId="0" fontId="107" fillId="0" borderId="21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22" applyNumberFormat="0" applyFill="0" applyAlignment="0" applyProtection="0"/>
    <xf numFmtId="0" fontId="109" fillId="28" borderId="23" applyNumberFormat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9" fontId="0" fillId="0" borderId="0" applyFont="0" applyFill="0" applyBorder="0" applyAlignment="0" applyProtection="0"/>
    <xf numFmtId="0" fontId="114" fillId="0" borderId="25" applyNumberFormat="0" applyFill="0" applyAlignment="0" applyProtection="0"/>
    <xf numFmtId="0" fontId="1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6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2" xfId="0" applyFont="1" applyFill="1" applyBorder="1" applyAlignment="1">
      <alignment horizontal="left" wrapText="1" indent="2"/>
    </xf>
    <xf numFmtId="49" fontId="7" fillId="0" borderId="32" xfId="0" applyNumberFormat="1" applyFont="1" applyFill="1" applyBorder="1" applyAlignment="1" applyProtection="1">
      <alignment horizontal="center" shrinkToFit="1"/>
      <protection locked="0"/>
    </xf>
    <xf numFmtId="49" fontId="7" fillId="0" borderId="32" xfId="0" applyNumberFormat="1" applyFont="1" applyFill="1" applyBorder="1" applyAlignment="1">
      <alignment horizontal="center" shrinkToFi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right" shrinkToFit="1"/>
      <protection locked="0"/>
    </xf>
    <xf numFmtId="4" fontId="10" fillId="0" borderId="32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" fontId="13" fillId="0" borderId="32" xfId="0" applyNumberFormat="1" applyFont="1" applyFill="1" applyBorder="1" applyAlignment="1">
      <alignment horizontal="right" shrinkToFit="1"/>
    </xf>
    <xf numFmtId="49" fontId="16" fillId="0" borderId="32" xfId="0" applyNumberFormat="1" applyFont="1" applyFill="1" applyBorder="1" applyAlignment="1">
      <alignment horizontal="center" shrinkToFit="1"/>
    </xf>
    <xf numFmtId="4" fontId="15" fillId="0" borderId="32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7" fillId="0" borderId="32" xfId="0" applyFont="1" applyFill="1" applyBorder="1" applyAlignment="1">
      <alignment horizontal="left" wrapText="1" indent="2"/>
    </xf>
    <xf numFmtId="49" fontId="17" fillId="0" borderId="32" xfId="0" applyNumberFormat="1" applyFont="1" applyFill="1" applyBorder="1" applyAlignment="1" applyProtection="1">
      <alignment horizontal="center" shrinkToFit="1"/>
      <protection locked="0"/>
    </xf>
    <xf numFmtId="4" fontId="18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 indent="2"/>
    </xf>
    <xf numFmtId="0" fontId="19" fillId="0" borderId="32" xfId="0" applyFont="1" applyFill="1" applyBorder="1" applyAlignment="1">
      <alignment horizontal="center" wrapText="1"/>
    </xf>
    <xf numFmtId="4" fontId="20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/>
    </xf>
    <xf numFmtId="3" fontId="19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49" fontId="11" fillId="0" borderId="32" xfId="0" applyNumberFormat="1" applyFont="1" applyFill="1" applyBorder="1" applyAlignment="1" applyProtection="1">
      <alignment horizontal="center" shrinkToFit="1"/>
      <protection locked="0"/>
    </xf>
    <xf numFmtId="0" fontId="22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vertical="center" wrapText="1" indent="2"/>
    </xf>
    <xf numFmtId="0" fontId="11" fillId="0" borderId="32" xfId="0" applyFont="1" applyFill="1" applyBorder="1" applyAlignment="1">
      <alignment horizontal="center" wrapText="1"/>
    </xf>
    <xf numFmtId="4" fontId="28" fillId="0" borderId="32" xfId="0" applyNumberFormat="1" applyFont="1" applyFill="1" applyBorder="1" applyAlignment="1">
      <alignment horizontal="right" wrapText="1"/>
    </xf>
    <xf numFmtId="4" fontId="29" fillId="0" borderId="32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32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 indent="2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49" fontId="19" fillId="0" borderId="32" xfId="0" applyNumberFormat="1" applyFont="1" applyFill="1" applyBorder="1" applyAlignment="1">
      <alignment horizontal="center" shrinkToFit="1"/>
    </xf>
    <xf numFmtId="4" fontId="33" fillId="0" borderId="32" xfId="0" applyNumberFormat="1" applyFont="1" applyFill="1" applyBorder="1" applyAlignment="1">
      <alignment horizontal="right" shrinkToFit="1"/>
    </xf>
    <xf numFmtId="0" fontId="34" fillId="0" borderId="32" xfId="0" applyFont="1" applyFill="1" applyBorder="1" applyAlignment="1">
      <alignment horizontal="left" wrapText="1"/>
    </xf>
    <xf numFmtId="0" fontId="4" fillId="0" borderId="32" xfId="176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4" fontId="24" fillId="0" borderId="32" xfId="0" applyNumberFormat="1" applyFont="1" applyFill="1" applyBorder="1" applyAlignment="1">
      <alignment horizontal="right" shrinkToFit="1"/>
    </xf>
    <xf numFmtId="0" fontId="1" fillId="0" borderId="32" xfId="0" applyFont="1" applyBorder="1" applyAlignment="1">
      <alignment horizontal="left" wrapText="1" indent="2"/>
    </xf>
    <xf numFmtId="4" fontId="36" fillId="0" borderId="32" xfId="0" applyNumberFormat="1" applyFont="1" applyFill="1" applyBorder="1" applyAlignment="1" applyProtection="1">
      <alignment horizontal="right" shrinkToFit="1"/>
      <protection locked="0"/>
    </xf>
    <xf numFmtId="0" fontId="27" fillId="0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indent="2"/>
    </xf>
    <xf numFmtId="0" fontId="27" fillId="33" borderId="32" xfId="0" applyFont="1" applyFill="1" applyBorder="1" applyAlignment="1">
      <alignment horizontal="left" wrapText="1"/>
    </xf>
    <xf numFmtId="2" fontId="29" fillId="0" borderId="32" xfId="0" applyNumberFormat="1" applyFont="1" applyFill="1" applyBorder="1" applyAlignment="1">
      <alignment horizontal="center" shrinkToFit="1"/>
    </xf>
    <xf numFmtId="0" fontId="35" fillId="0" borderId="32" xfId="0" applyFont="1" applyFill="1" applyBorder="1" applyAlignment="1">
      <alignment horizontal="left" wrapText="1"/>
    </xf>
    <xf numFmtId="4" fontId="39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49" fontId="41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left" vertical="center" wrapText="1"/>
    </xf>
    <xf numFmtId="49" fontId="45" fillId="0" borderId="32" xfId="0" applyNumberFormat="1" applyFont="1" applyFill="1" applyBorder="1" applyAlignment="1">
      <alignment horizontal="center" vertical="center"/>
    </xf>
    <xf numFmtId="49" fontId="45" fillId="0" borderId="32" xfId="0" applyNumberFormat="1" applyFont="1" applyFill="1" applyBorder="1" applyAlignment="1">
      <alignment horizontal="center" vertical="center" wrapText="1"/>
    </xf>
    <xf numFmtId="4" fontId="42" fillId="0" borderId="32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49" fontId="45" fillId="0" borderId="3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49" fontId="44" fillId="0" borderId="36" xfId="0" applyNumberFormat="1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" fontId="43" fillId="0" borderId="46" xfId="0" applyNumberFormat="1" applyFont="1" applyFill="1" applyBorder="1" applyAlignment="1">
      <alignment horizontal="center" vertical="center"/>
    </xf>
    <xf numFmtId="4" fontId="44" fillId="0" borderId="4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left" vertical="center" wrapText="1"/>
    </xf>
    <xf numFmtId="49" fontId="45" fillId="0" borderId="45" xfId="0" applyNumberFormat="1" applyFont="1" applyFill="1" applyBorder="1" applyAlignment="1">
      <alignment horizontal="center" vertical="center"/>
    </xf>
    <xf numFmtId="4" fontId="42" fillId="0" borderId="46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9" fontId="45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49" fontId="45" fillId="0" borderId="45" xfId="0" applyNumberFormat="1" applyFont="1" applyFill="1" applyBorder="1" applyAlignment="1">
      <alignment horizontal="center" vertical="center"/>
    </xf>
    <xf numFmtId="49" fontId="45" fillId="0" borderId="38" xfId="0" applyNumberFormat="1" applyFont="1" applyFill="1" applyBorder="1" applyAlignment="1">
      <alignment horizontal="center" vertical="center"/>
    </xf>
    <xf numFmtId="49" fontId="45" fillId="0" borderId="38" xfId="0" applyNumberFormat="1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 indent="1"/>
    </xf>
    <xf numFmtId="0" fontId="45" fillId="0" borderId="41" xfId="0" applyNumberFormat="1" applyFont="1" applyFill="1" applyBorder="1" applyAlignment="1">
      <alignment horizontal="left" vertical="center" wrapText="1"/>
    </xf>
    <xf numFmtId="49" fontId="45" fillId="0" borderId="45" xfId="0" applyNumberFormat="1" applyFont="1" applyFill="1" applyBorder="1" applyAlignment="1">
      <alignment horizontal="center" vertical="center" wrapText="1"/>
    </xf>
    <xf numFmtId="4" fontId="46" fillId="0" borderId="46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wrapText="1"/>
    </xf>
    <xf numFmtId="49" fontId="46" fillId="0" borderId="47" xfId="0" applyNumberFormat="1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 wrapText="1"/>
    </xf>
    <xf numFmtId="0" fontId="46" fillId="0" borderId="46" xfId="0" applyFont="1" applyFill="1" applyBorder="1" applyAlignment="1">
      <alignment horizontal="center" vertical="center"/>
    </xf>
    <xf numFmtId="4" fontId="46" fillId="0" borderId="32" xfId="0" applyNumberFormat="1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49" fontId="41" fillId="33" borderId="0" xfId="0" applyNumberFormat="1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 indent="2"/>
    </xf>
    <xf numFmtId="49" fontId="4" fillId="0" borderId="32" xfId="0" applyNumberFormat="1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vertical="center"/>
    </xf>
    <xf numFmtId="49" fontId="41" fillId="0" borderId="48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wrapText="1" indent="1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4" fontId="46" fillId="0" borderId="45" xfId="0" applyNumberFormat="1" applyFont="1" applyFill="1" applyBorder="1" applyAlignment="1">
      <alignment horizontal="center" vertical="center"/>
    </xf>
    <xf numFmtId="4" fontId="46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 wrapText="1" indent="1"/>
    </xf>
    <xf numFmtId="0" fontId="37" fillId="0" borderId="32" xfId="0" applyFont="1" applyFill="1" applyBorder="1" applyAlignment="1">
      <alignment horizontal="left" wrapText="1"/>
    </xf>
    <xf numFmtId="49" fontId="29" fillId="0" borderId="32" xfId="0" applyNumberFormat="1" applyFont="1" applyFill="1" applyBorder="1" applyAlignment="1">
      <alignment horizontal="center" shrinkToFit="1"/>
    </xf>
    <xf numFmtId="0" fontId="49" fillId="0" borderId="38" xfId="0" applyFont="1" applyFill="1" applyBorder="1" applyAlignment="1">
      <alignment horizontal="left" vertical="top" wrapText="1"/>
    </xf>
    <xf numFmtId="49" fontId="50" fillId="33" borderId="32" xfId="161" applyNumberFormat="1" applyFont="1" applyFill="1" applyBorder="1" applyAlignment="1">
      <alignment horizontal="center" wrapText="1"/>
    </xf>
    <xf numFmtId="0" fontId="34" fillId="0" borderId="32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49" fontId="90" fillId="0" borderId="52" xfId="99" applyNumberFormat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>
      <alignment vertical="center"/>
    </xf>
    <xf numFmtId="4" fontId="53" fillId="0" borderId="32" xfId="0" applyNumberFormat="1" applyFont="1" applyFill="1" applyBorder="1" applyAlignment="1">
      <alignment horizontal="right" wrapText="1"/>
    </xf>
    <xf numFmtId="4" fontId="28" fillId="0" borderId="0" xfId="0" applyNumberFormat="1" applyFont="1" applyFill="1" applyBorder="1" applyAlignment="1">
      <alignment horizontal="right" wrapText="1"/>
    </xf>
    <xf numFmtId="49" fontId="54" fillId="0" borderId="41" xfId="0" applyNumberFormat="1" applyFont="1" applyFill="1" applyBorder="1" applyAlignment="1">
      <alignment horizontal="left" vertical="center" wrapText="1"/>
    </xf>
    <xf numFmtId="4" fontId="20" fillId="34" borderId="32" xfId="0" applyNumberFormat="1" applyFont="1" applyFill="1" applyBorder="1" applyAlignment="1">
      <alignment horizontal="right" shrinkToFit="1"/>
    </xf>
    <xf numFmtId="4" fontId="33" fillId="35" borderId="32" xfId="0" applyNumberFormat="1" applyFont="1" applyFill="1" applyBorder="1" applyAlignment="1">
      <alignment horizontal="right" shrinkToFit="1"/>
    </xf>
    <xf numFmtId="0" fontId="11" fillId="36" borderId="32" xfId="0" applyFont="1" applyFill="1" applyBorder="1" applyAlignment="1">
      <alignment horizontal="center" wrapText="1"/>
    </xf>
    <xf numFmtId="4" fontId="20" fillId="36" borderId="32" xfId="0" applyNumberFormat="1" applyFont="1" applyFill="1" applyBorder="1" applyAlignment="1">
      <alignment horizontal="right" shrinkToFit="1"/>
    </xf>
    <xf numFmtId="0" fontId="19" fillId="35" borderId="32" xfId="0" applyFont="1" applyFill="1" applyBorder="1" applyAlignment="1">
      <alignment horizontal="right" vertical="center" wrapText="1" indent="2"/>
    </xf>
    <xf numFmtId="0" fontId="11" fillId="35" borderId="32" xfId="0" applyFont="1" applyFill="1" applyBorder="1" applyAlignment="1">
      <alignment horizontal="center" wrapText="1"/>
    </xf>
    <xf numFmtId="4" fontId="20" fillId="35" borderId="32" xfId="0" applyNumberFormat="1" applyFont="1" applyFill="1" applyBorder="1" applyAlignment="1">
      <alignment horizontal="right" shrinkToFit="1"/>
    </xf>
    <xf numFmtId="0" fontId="19" fillId="35" borderId="32" xfId="0" applyFont="1" applyFill="1" applyBorder="1" applyAlignment="1">
      <alignment horizontal="right" wrapText="1" indent="2"/>
    </xf>
    <xf numFmtId="0" fontId="19" fillId="35" borderId="32" xfId="0" applyFont="1" applyFill="1" applyBorder="1" applyAlignment="1">
      <alignment horizontal="center" wrapText="1"/>
    </xf>
    <xf numFmtId="0" fontId="51" fillId="35" borderId="38" xfId="0" applyFont="1" applyFill="1" applyBorder="1" applyAlignment="1">
      <alignment horizontal="left" vertical="top" wrapText="1"/>
    </xf>
    <xf numFmtId="0" fontId="19" fillId="36" borderId="32" xfId="0" applyFont="1" applyFill="1" applyBorder="1" applyAlignment="1">
      <alignment horizontal="right" wrapText="1" indent="2"/>
    </xf>
    <xf numFmtId="0" fontId="11" fillId="35" borderId="32" xfId="0" applyFont="1" applyFill="1" applyBorder="1" applyAlignment="1">
      <alignment horizontal="left" wrapText="1" indent="2"/>
    </xf>
    <xf numFmtId="49" fontId="17" fillId="35" borderId="32" xfId="0" applyNumberFormat="1" applyFont="1" applyFill="1" applyBorder="1" applyAlignment="1" applyProtection="1">
      <alignment horizontal="center" shrinkToFit="1"/>
      <protection locked="0"/>
    </xf>
    <xf numFmtId="0" fontId="1" fillId="35" borderId="32" xfId="0" applyFont="1" applyFill="1" applyBorder="1" applyAlignment="1">
      <alignment horizontal="left" wrapText="1"/>
    </xf>
    <xf numFmtId="49" fontId="11" fillId="35" borderId="32" xfId="0" applyNumberFormat="1" applyFont="1" applyFill="1" applyBorder="1" applyAlignment="1" applyProtection="1">
      <alignment horizontal="center" shrinkToFit="1"/>
      <protection locked="0"/>
    </xf>
    <xf numFmtId="4" fontId="29" fillId="35" borderId="32" xfId="0" applyNumberFormat="1" applyFont="1" applyFill="1" applyBorder="1" applyAlignment="1">
      <alignment horizontal="center" wrapText="1"/>
    </xf>
    <xf numFmtId="4" fontId="28" fillId="35" borderId="32" xfId="0" applyNumberFormat="1" applyFont="1" applyFill="1" applyBorder="1" applyAlignment="1">
      <alignment horizontal="right" wrapText="1"/>
    </xf>
    <xf numFmtId="0" fontId="52" fillId="35" borderId="32" xfId="0" applyFont="1" applyFill="1" applyBorder="1" applyAlignment="1">
      <alignment horizontal="left" vertical="center" wrapText="1"/>
    </xf>
    <xf numFmtId="0" fontId="1" fillId="36" borderId="32" xfId="0" applyFont="1" applyFill="1" applyBorder="1" applyAlignment="1">
      <alignment horizontal="left" wrapText="1" indent="2"/>
    </xf>
    <xf numFmtId="0" fontId="19" fillId="36" borderId="32" xfId="0" applyFont="1" applyFill="1" applyBorder="1" applyAlignment="1">
      <alignment horizontal="center" wrapText="1"/>
    </xf>
    <xf numFmtId="4" fontId="18" fillId="36" borderId="32" xfId="0" applyNumberFormat="1" applyFont="1" applyFill="1" applyBorder="1" applyAlignment="1">
      <alignment horizontal="right" shrinkToFit="1"/>
    </xf>
    <xf numFmtId="0" fontId="11" fillId="36" borderId="32" xfId="0" applyFont="1" applyFill="1" applyBorder="1" applyAlignment="1">
      <alignment horizontal="left" wrapText="1"/>
    </xf>
    <xf numFmtId="49" fontId="17" fillId="36" borderId="32" xfId="0" applyNumberFormat="1" applyFont="1" applyFill="1" applyBorder="1" applyAlignment="1" applyProtection="1">
      <alignment horizontal="center" shrinkToFit="1"/>
      <protection locked="0"/>
    </xf>
    <xf numFmtId="0" fontId="11" fillId="36" borderId="32" xfId="0" applyFont="1" applyFill="1" applyBorder="1" applyAlignment="1">
      <alignment horizontal="left" wrapText="1" indent="2"/>
    </xf>
    <xf numFmtId="4" fontId="0" fillId="0" borderId="0" xfId="0" applyNumberFormat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55" fillId="0" borderId="32" xfId="0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wrapText="1"/>
    </xf>
    <xf numFmtId="4" fontId="44" fillId="37" borderId="46" xfId="0" applyNumberFormat="1" applyFont="1" applyFill="1" applyBorder="1" applyAlignment="1">
      <alignment horizontal="center" vertical="center"/>
    </xf>
    <xf numFmtId="4" fontId="15" fillId="37" borderId="32" xfId="0" applyNumberFormat="1" applyFont="1" applyFill="1" applyBorder="1" applyAlignment="1">
      <alignment horizontal="right" shrinkToFit="1"/>
    </xf>
    <xf numFmtId="4" fontId="13" fillId="37" borderId="32" xfId="0" applyNumberFormat="1" applyFont="1" applyFill="1" applyBorder="1" applyAlignment="1">
      <alignment horizontal="right" shrinkToFit="1"/>
    </xf>
    <xf numFmtId="0" fontId="17" fillId="37" borderId="32" xfId="0" applyFont="1" applyFill="1" applyBorder="1" applyAlignment="1">
      <alignment horizontal="left" wrapText="1" indent="2"/>
    </xf>
    <xf numFmtId="49" fontId="17" fillId="37" borderId="32" xfId="0" applyNumberFormat="1" applyFont="1" applyFill="1" applyBorder="1" applyAlignment="1" applyProtection="1">
      <alignment horizontal="center" shrinkToFit="1"/>
      <protection locked="0"/>
    </xf>
    <xf numFmtId="4" fontId="18" fillId="37" borderId="32" xfId="0" applyNumberFormat="1" applyFont="1" applyFill="1" applyBorder="1" applyAlignment="1">
      <alignment horizontal="right" shrinkToFit="1"/>
    </xf>
    <xf numFmtId="0" fontId="19" fillId="37" borderId="32" xfId="0" applyFont="1" applyFill="1" applyBorder="1" applyAlignment="1">
      <alignment horizontal="right" wrapText="1" indent="2"/>
    </xf>
    <xf numFmtId="4" fontId="53" fillId="37" borderId="32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32" xfId="176" applyFont="1" applyBorder="1" applyAlignment="1">
      <alignment horizontal="left" vertical="center" wrapText="1"/>
      <protection/>
    </xf>
    <xf numFmtId="0" fontId="6" fillId="0" borderId="32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left" vertical="center" wrapText="1"/>
    </xf>
    <xf numFmtId="0" fontId="56" fillId="0" borderId="32" xfId="0" applyFont="1" applyFill="1" applyBorder="1" applyAlignment="1">
      <alignment horizontal="left" vertical="center" wrapText="1"/>
    </xf>
    <xf numFmtId="49" fontId="6" fillId="33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6" borderId="32" xfId="0" applyNumberFormat="1" applyFont="1" applyFill="1" applyBorder="1" applyAlignment="1" applyProtection="1">
      <alignment horizontal="center" shrinkToFit="1"/>
      <protection locked="0"/>
    </xf>
    <xf numFmtId="4" fontId="29" fillId="36" borderId="32" xfId="0" applyNumberFormat="1" applyFont="1" applyFill="1" applyBorder="1" applyAlignment="1">
      <alignment horizontal="center" wrapText="1"/>
    </xf>
    <xf numFmtId="4" fontId="28" fillId="36" borderId="32" xfId="0" applyNumberFormat="1" applyFont="1" applyFill="1" applyBorder="1" applyAlignment="1">
      <alignment horizontal="right" wrapText="1"/>
    </xf>
    <xf numFmtId="4" fontId="33" fillId="36" borderId="32" xfId="0" applyNumberFormat="1" applyFont="1" applyFill="1" applyBorder="1" applyAlignment="1">
      <alignment horizontal="right" shrinkToFit="1"/>
    </xf>
    <xf numFmtId="49" fontId="11" fillId="35" borderId="32" xfId="0" applyNumberFormat="1" applyFont="1" applyFill="1" applyBorder="1" applyAlignment="1" applyProtection="1">
      <alignment horizontal="center" vertical="center" shrinkToFit="1"/>
      <protection locked="0"/>
    </xf>
    <xf numFmtId="4" fontId="29" fillId="35" borderId="32" xfId="0" applyNumberFormat="1" applyFont="1" applyFill="1" applyBorder="1" applyAlignment="1">
      <alignment horizontal="center" vertical="center" wrapText="1"/>
    </xf>
    <xf numFmtId="4" fontId="28" fillId="35" borderId="32" xfId="0" applyNumberFormat="1" applyFont="1" applyFill="1" applyBorder="1" applyAlignment="1">
      <alignment horizontal="right" vertical="center" wrapText="1"/>
    </xf>
    <xf numFmtId="49" fontId="19" fillId="36" borderId="32" xfId="0" applyNumberFormat="1" applyFont="1" applyFill="1" applyBorder="1" applyAlignment="1">
      <alignment horizontal="center" shrinkToFit="1"/>
    </xf>
    <xf numFmtId="0" fontId="38" fillId="0" borderId="32" xfId="0" applyFont="1" applyFill="1" applyBorder="1" applyAlignment="1">
      <alignment horizontal="left" wrapText="1"/>
    </xf>
    <xf numFmtId="0" fontId="38" fillId="36" borderId="32" xfId="0" applyFont="1" applyFill="1" applyBorder="1" applyAlignment="1">
      <alignment horizontal="left" wrapText="1"/>
    </xf>
    <xf numFmtId="0" fontId="19" fillId="36" borderId="32" xfId="0" applyFont="1" applyFill="1" applyBorder="1" applyAlignment="1">
      <alignment horizontal="left" wrapText="1"/>
    </xf>
    <xf numFmtId="0" fontId="1" fillId="36" borderId="32" xfId="0" applyFont="1" applyFill="1" applyBorder="1" applyAlignment="1">
      <alignment horizontal="left" wrapText="1"/>
    </xf>
    <xf numFmtId="0" fontId="17" fillId="37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top" wrapText="1" indent="2"/>
    </xf>
    <xf numFmtId="0" fontId="17" fillId="36" borderId="32" xfId="0" applyFont="1" applyFill="1" applyBorder="1" applyAlignment="1">
      <alignment horizontal="left" wrapText="1" indent="2"/>
    </xf>
    <xf numFmtId="0" fontId="58" fillId="36" borderId="32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 shrinkToFit="1"/>
    </xf>
    <xf numFmtId="49" fontId="5" fillId="37" borderId="32" xfId="0" applyNumberFormat="1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/>
    </xf>
    <xf numFmtId="0" fontId="11" fillId="35" borderId="32" xfId="0" applyFont="1" applyFill="1" applyBorder="1" applyAlignment="1">
      <alignment horizontal="left" wrapText="1"/>
    </xf>
    <xf numFmtId="0" fontId="59" fillId="35" borderId="32" xfId="0" applyFont="1" applyFill="1" applyBorder="1" applyAlignment="1">
      <alignment horizontal="left" vertical="center" wrapText="1"/>
    </xf>
    <xf numFmtId="4" fontId="24" fillId="37" borderId="32" xfId="0" applyNumberFormat="1" applyFont="1" applyFill="1" applyBorder="1" applyAlignment="1">
      <alignment horizontal="right" shrinkToFit="1"/>
    </xf>
    <xf numFmtId="49" fontId="0" fillId="37" borderId="40" xfId="0" applyNumberFormat="1" applyFont="1" applyFill="1" applyBorder="1" applyAlignment="1">
      <alignment horizontal="left" vertical="center" wrapText="1" indent="1"/>
    </xf>
    <xf numFmtId="49" fontId="0" fillId="37" borderId="31" xfId="0" applyNumberFormat="1" applyFont="1" applyFill="1" applyBorder="1" applyAlignment="1">
      <alignment horizontal="center" vertical="center"/>
    </xf>
    <xf numFmtId="49" fontId="0" fillId="37" borderId="45" xfId="0" applyNumberFormat="1" applyFont="1" applyFill="1" applyBorder="1" applyAlignment="1">
      <alignment horizontal="center" vertical="center" wrapText="1"/>
    </xf>
    <xf numFmtId="4" fontId="23" fillId="37" borderId="46" xfId="0" applyNumberFormat="1" applyFont="1" applyFill="1" applyBorder="1" applyAlignment="1">
      <alignment horizontal="center" vertical="center"/>
    </xf>
    <xf numFmtId="0" fontId="46" fillId="37" borderId="32" xfId="0" applyFont="1" applyFill="1" applyBorder="1" applyAlignment="1">
      <alignment horizontal="center" vertical="center"/>
    </xf>
    <xf numFmtId="0" fontId="46" fillId="37" borderId="38" xfId="0" applyFont="1" applyFill="1" applyBorder="1" applyAlignment="1">
      <alignment horizontal="center" vertical="center"/>
    </xf>
    <xf numFmtId="0" fontId="46" fillId="37" borderId="37" xfId="0" applyFont="1" applyFill="1" applyBorder="1" applyAlignment="1">
      <alignment horizontal="center" vertical="center"/>
    </xf>
    <xf numFmtId="4" fontId="46" fillId="37" borderId="32" xfId="0" applyNumberFormat="1" applyFont="1" applyFill="1" applyBorder="1" applyAlignment="1">
      <alignment horizontal="center" vertical="center"/>
    </xf>
    <xf numFmtId="4" fontId="46" fillId="37" borderId="45" xfId="0" applyNumberFormat="1" applyFont="1" applyFill="1" applyBorder="1" applyAlignment="1">
      <alignment horizontal="center" vertical="center"/>
    </xf>
    <xf numFmtId="4" fontId="46" fillId="37" borderId="46" xfId="0" applyNumberFormat="1" applyFont="1" applyFill="1" applyBorder="1" applyAlignment="1">
      <alignment horizontal="center" vertical="center"/>
    </xf>
    <xf numFmtId="4" fontId="46" fillId="37" borderId="31" xfId="0" applyNumberFormat="1" applyFont="1" applyFill="1" applyBorder="1" applyAlignment="1">
      <alignment horizontal="center" vertical="center"/>
    </xf>
    <xf numFmtId="0" fontId="45" fillId="37" borderId="41" xfId="0" applyFont="1" applyFill="1" applyBorder="1" applyAlignment="1">
      <alignment horizontal="left" vertical="center" wrapText="1"/>
    </xf>
    <xf numFmtId="49" fontId="45" fillId="37" borderId="38" xfId="0" applyNumberFormat="1" applyFont="1" applyFill="1" applyBorder="1" applyAlignment="1">
      <alignment horizontal="center" vertical="center"/>
    </xf>
    <xf numFmtId="49" fontId="45" fillId="37" borderId="32" xfId="0" applyNumberFormat="1" applyFont="1" applyFill="1" applyBorder="1" applyAlignment="1">
      <alignment horizontal="center" vertical="center" wrapText="1"/>
    </xf>
    <xf numFmtId="49" fontId="45" fillId="37" borderId="45" xfId="0" applyNumberFormat="1" applyFont="1" applyFill="1" applyBorder="1" applyAlignment="1">
      <alignment horizontal="center" vertical="center" wrapText="1"/>
    </xf>
    <xf numFmtId="4" fontId="42" fillId="37" borderId="46" xfId="0" applyNumberFormat="1" applyFont="1" applyFill="1" applyBorder="1" applyAlignment="1">
      <alignment horizontal="center" vertical="center"/>
    </xf>
    <xf numFmtId="4" fontId="21" fillId="37" borderId="4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shrinkToFit="1"/>
    </xf>
    <xf numFmtId="49" fontId="6" fillId="33" borderId="32" xfId="0" applyNumberFormat="1" applyFont="1" applyFill="1" applyBorder="1" applyAlignment="1">
      <alignment horizontal="center" shrinkToFit="1"/>
    </xf>
    <xf numFmtId="4" fontId="11" fillId="0" borderId="32" xfId="0" applyNumberFormat="1" applyFont="1" applyFill="1" applyBorder="1" applyAlignment="1" applyProtection="1">
      <alignment horizontal="center" shrinkToFit="1"/>
      <protection locked="0"/>
    </xf>
    <xf numFmtId="4" fontId="19" fillId="0" borderId="32" xfId="0" applyNumberFormat="1" applyFont="1" applyFill="1" applyBorder="1" applyAlignment="1" applyProtection="1">
      <alignment horizontal="center" shrinkToFit="1"/>
      <protection locked="0"/>
    </xf>
    <xf numFmtId="4" fontId="32" fillId="0" borderId="32" xfId="0" applyNumberFormat="1" applyFont="1" applyFill="1" applyBorder="1" applyAlignment="1">
      <alignment horizontal="center" shrinkToFit="1"/>
    </xf>
    <xf numFmtId="4" fontId="20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32" xfId="184" applyFont="1" applyBorder="1" applyAlignment="1">
      <alignment horizontal="center"/>
      <protection/>
    </xf>
    <xf numFmtId="4" fontId="40" fillId="0" borderId="32" xfId="0" applyNumberFormat="1" applyFont="1" applyFill="1" applyBorder="1" applyAlignment="1">
      <alignment horizontal="center" shrinkToFit="1"/>
    </xf>
    <xf numFmtId="4" fontId="24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>
      <alignment horizontal="center" shrinkToFit="1"/>
    </xf>
    <xf numFmtId="4" fontId="32" fillId="33" borderId="32" xfId="0" applyNumberFormat="1" applyFont="1" applyFill="1" applyBorder="1" applyAlignment="1">
      <alignment horizontal="center" shrinkToFit="1"/>
    </xf>
    <xf numFmtId="4" fontId="57" fillId="0" borderId="32" xfId="0" applyNumberFormat="1" applyFont="1" applyFill="1" applyBorder="1" applyAlignment="1">
      <alignment horizontal="center" vertical="center" shrinkToFit="1"/>
    </xf>
    <xf numFmtId="4" fontId="32" fillId="0" borderId="32" xfId="0" applyNumberFormat="1" applyFont="1" applyFill="1" applyBorder="1" applyAlignment="1">
      <alignment horizontal="center" vertical="center" shrinkToFit="1"/>
    </xf>
    <xf numFmtId="4" fontId="57" fillId="0" borderId="32" xfId="0" applyNumberFormat="1" applyFont="1" applyFill="1" applyBorder="1" applyAlignment="1">
      <alignment horizontal="center" shrinkToFit="1"/>
    </xf>
    <xf numFmtId="4" fontId="36" fillId="7" borderId="32" xfId="0" applyNumberFormat="1" applyFont="1" applyFill="1" applyBorder="1" applyAlignment="1" applyProtection="1">
      <alignment horizontal="right" shrinkToFit="1"/>
      <protection locked="0"/>
    </xf>
    <xf numFmtId="4" fontId="20" fillId="7" borderId="32" xfId="0" applyNumberFormat="1" applyFont="1" applyFill="1" applyBorder="1" applyAlignment="1">
      <alignment horizontal="right" shrinkToFit="1"/>
    </xf>
    <xf numFmtId="4" fontId="18" fillId="7" borderId="32" xfId="0" applyNumberFormat="1" applyFont="1" applyFill="1" applyBorder="1" applyAlignment="1">
      <alignment horizontal="right" shrinkToFit="1"/>
    </xf>
    <xf numFmtId="4" fontId="24" fillId="7" borderId="32" xfId="0" applyNumberFormat="1" applyFont="1" applyFill="1" applyBorder="1" applyAlignment="1">
      <alignment horizontal="right" shrinkToFit="1"/>
    </xf>
    <xf numFmtId="4" fontId="28" fillId="7" borderId="32" xfId="0" applyNumberFormat="1" applyFont="1" applyFill="1" applyBorder="1" applyAlignment="1">
      <alignment horizontal="right" wrapText="1"/>
    </xf>
    <xf numFmtId="4" fontId="39" fillId="7" borderId="32" xfId="0" applyNumberFormat="1" applyFont="1" applyFill="1" applyBorder="1" applyAlignment="1">
      <alignment horizontal="right" wrapText="1"/>
    </xf>
    <xf numFmtId="4" fontId="33" fillId="7" borderId="32" xfId="0" applyNumberFormat="1" applyFont="1" applyFill="1" applyBorder="1" applyAlignment="1">
      <alignment horizontal="right" shrinkToFit="1"/>
    </xf>
    <xf numFmtId="4" fontId="28" fillId="7" borderId="32" xfId="0" applyNumberFormat="1" applyFont="1" applyFill="1" applyBorder="1" applyAlignment="1">
      <alignment horizontal="right" vertical="center" wrapText="1"/>
    </xf>
    <xf numFmtId="4" fontId="53" fillId="7" borderId="32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/>
    </xf>
    <xf numFmtId="0" fontId="11" fillId="35" borderId="32" xfId="0" applyFont="1" applyFill="1" applyBorder="1" applyAlignment="1">
      <alignment wrapText="1"/>
    </xf>
    <xf numFmtId="49" fontId="19" fillId="35" borderId="32" xfId="0" applyNumberFormat="1" applyFont="1" applyFill="1" applyBorder="1" applyAlignment="1" applyProtection="1">
      <alignment horizontal="center" shrinkToFit="1"/>
      <protection locked="0"/>
    </xf>
    <xf numFmtId="49" fontId="19" fillId="35" borderId="32" xfId="0" applyNumberFormat="1" applyFont="1" applyFill="1" applyBorder="1" applyAlignment="1">
      <alignment horizontal="center" shrinkToFit="1"/>
    </xf>
    <xf numFmtId="4" fontId="18" fillId="35" borderId="32" xfId="0" applyNumberFormat="1" applyFont="1" applyFill="1" applyBorder="1" applyAlignment="1">
      <alignment horizontal="right" shrinkToFit="1"/>
    </xf>
    <xf numFmtId="0" fontId="58" fillId="35" borderId="32" xfId="0" applyFont="1" applyFill="1" applyBorder="1" applyAlignment="1">
      <alignment horizontal="left" wrapText="1"/>
    </xf>
    <xf numFmtId="0" fontId="57" fillId="0" borderId="38" xfId="0" applyFont="1" applyFill="1" applyBorder="1" applyAlignment="1">
      <alignment horizontal="left" vertical="center" wrapText="1"/>
    </xf>
    <xf numFmtId="0" fontId="57" fillId="0" borderId="40" xfId="0" applyFont="1" applyFill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7" fillId="0" borderId="38" xfId="0" applyFont="1" applyFill="1" applyBorder="1" applyAlignment="1">
      <alignment horizontal="right" vertical="center" wrapText="1"/>
    </xf>
    <xf numFmtId="0" fontId="57" fillId="0" borderId="40" xfId="0" applyFont="1" applyFill="1" applyBorder="1" applyAlignment="1">
      <alignment horizontal="right" vertical="center" wrapText="1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5" fillId="0" borderId="55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59" xfId="0" applyNumberFormat="1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9" fontId="44" fillId="0" borderId="38" xfId="0" applyNumberFormat="1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21" fillId="33" borderId="48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</cellXfs>
  <cellStyles count="1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39" xfId="33"/>
    <cellStyle name="st140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1" xfId="64"/>
    <cellStyle name="xl132" xfId="65"/>
    <cellStyle name="xl133" xfId="66"/>
    <cellStyle name="xl134" xfId="67"/>
    <cellStyle name="xl135" xfId="68"/>
    <cellStyle name="xl136" xfId="69"/>
    <cellStyle name="xl137" xfId="70"/>
    <cellStyle name="xl138" xfId="71"/>
    <cellStyle name="xl139" xfId="72"/>
    <cellStyle name="xl140" xfId="73"/>
    <cellStyle name="xl141" xfId="74"/>
    <cellStyle name="xl142" xfId="75"/>
    <cellStyle name="xl22" xfId="76"/>
    <cellStyle name="xl23" xfId="77"/>
    <cellStyle name="xl24" xfId="78"/>
    <cellStyle name="xl25" xfId="79"/>
    <cellStyle name="xl26" xfId="80"/>
    <cellStyle name="xl28" xfId="81"/>
    <cellStyle name="xl29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Hyperlink" xfId="158"/>
    <cellStyle name="Currency" xfId="159"/>
    <cellStyle name="Currency [0]" xfId="160"/>
    <cellStyle name="Денежный [0] 2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10" xfId="170"/>
    <cellStyle name="Обычный 11" xfId="171"/>
    <cellStyle name="Обычный 12" xfId="172"/>
    <cellStyle name="Обычный 13" xfId="173"/>
    <cellStyle name="Обычный 14" xfId="174"/>
    <cellStyle name="Обычный 15" xfId="175"/>
    <cellStyle name="Обычный 2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_Администраторы" xfId="184"/>
    <cellStyle name="Followed Hyperlink" xfId="185"/>
    <cellStyle name="Плохой" xfId="186"/>
    <cellStyle name="Пояснение" xfId="187"/>
    <cellStyle name="Примечание" xfId="188"/>
    <cellStyle name="Примечание 10" xfId="189"/>
    <cellStyle name="Примечание 11" xfId="190"/>
    <cellStyle name="Примечание 12" xfId="191"/>
    <cellStyle name="Примечание 13" xfId="192"/>
    <cellStyle name="Примечание 14" xfId="193"/>
    <cellStyle name="Примечание 15" xfId="194"/>
    <cellStyle name="Примечание 2" xfId="195"/>
    <cellStyle name="Примечание 3" xfId="196"/>
    <cellStyle name="Примечание 4" xfId="197"/>
    <cellStyle name="Примечание 5" xfId="198"/>
    <cellStyle name="Примечание 6" xfId="199"/>
    <cellStyle name="Примечание 7" xfId="200"/>
    <cellStyle name="Примечание 8" xfId="201"/>
    <cellStyle name="Примечание 9" xfId="202"/>
    <cellStyle name="Percent" xfId="203"/>
    <cellStyle name="Связанная ячейка" xfId="204"/>
    <cellStyle name="Текст предупреждения" xfId="205"/>
    <cellStyle name="Comma" xfId="206"/>
    <cellStyle name="Comma [0]" xfId="207"/>
    <cellStyle name="Хороший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31">
        <v>39448</v>
      </c>
      <c r="B1">
        <v>1</v>
      </c>
    </row>
    <row r="2" ht="12.75">
      <c r="A2" s="31">
        <v>39538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>
        <v>1656756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>
        <v>3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showGridLines="0" tabSelected="1" zoomScalePageLayoutView="0" workbookViewId="0" topLeftCell="A1">
      <pane xSplit="21750" topLeftCell="J1" activePane="topLeft" state="split"/>
      <selection pane="topLeft" activeCell="H42" sqref="H42"/>
      <selection pane="topRight" activeCell="N71" sqref="N71"/>
    </sheetView>
  </sheetViews>
  <sheetFormatPr defaultColWidth="9.00390625" defaultRowHeight="12.75"/>
  <cols>
    <col min="1" max="1" width="85.875" style="24" customWidth="1"/>
    <col min="2" max="2" width="6.75390625" style="24" customWidth="1"/>
    <col min="3" max="3" width="24.75390625" style="24" customWidth="1"/>
    <col min="4" max="4" width="22.75390625" style="24" customWidth="1"/>
    <col min="5" max="5" width="19.25390625" style="24" customWidth="1"/>
    <col min="6" max="7" width="15.375" style="24" hidden="1" customWidth="1"/>
    <col min="8" max="8" width="19.875" style="23" customWidth="1"/>
    <col min="9" max="9" width="24.25390625" style="24" customWidth="1"/>
    <col min="10" max="16384" width="9.125" style="24" customWidth="1"/>
  </cols>
  <sheetData>
    <row r="1" spans="1:8" s="14" customFormat="1" ht="11.25" customHeight="1">
      <c r="A1" s="1"/>
      <c r="B1" s="2"/>
      <c r="C1" s="3"/>
      <c r="D1" s="4"/>
      <c r="E1" s="5"/>
      <c r="F1" s="6"/>
      <c r="H1" s="15"/>
    </row>
    <row r="2" spans="1:9" s="14" customFormat="1" ht="15" thickBot="1">
      <c r="A2" s="330" t="s">
        <v>10</v>
      </c>
      <c r="B2" s="330"/>
      <c r="C2" s="330"/>
      <c r="D2" s="330"/>
      <c r="E2" s="330"/>
      <c r="F2" s="330"/>
      <c r="G2" s="330"/>
      <c r="H2" s="5"/>
      <c r="I2" s="7" t="s">
        <v>0</v>
      </c>
    </row>
    <row r="3" spans="1:9" s="14" customFormat="1" ht="14.25">
      <c r="A3" s="341" t="s">
        <v>6</v>
      </c>
      <c r="B3" s="341"/>
      <c r="C3" s="341"/>
      <c r="D3" s="341"/>
      <c r="E3" s="341"/>
      <c r="F3" s="341"/>
      <c r="G3" s="341"/>
      <c r="H3" s="8" t="s">
        <v>1</v>
      </c>
      <c r="I3" s="9" t="s">
        <v>11</v>
      </c>
    </row>
    <row r="4" spans="1:9" s="14" customFormat="1" ht="14.25">
      <c r="A4" s="73"/>
      <c r="B4" s="73"/>
      <c r="C4" s="74" t="s">
        <v>490</v>
      </c>
      <c r="D4" s="73"/>
      <c r="E4" s="73"/>
      <c r="F4" s="73"/>
      <c r="G4" s="73"/>
      <c r="H4" s="8" t="s">
        <v>2</v>
      </c>
      <c r="I4" s="10" t="str">
        <f>C4</f>
        <v>на 01.05.2023 года</v>
      </c>
    </row>
    <row r="5" spans="1:9" ht="18" customHeight="1">
      <c r="A5" s="35" t="s">
        <v>21</v>
      </c>
      <c r="B5" s="36"/>
      <c r="C5" s="36"/>
      <c r="D5" s="37"/>
      <c r="H5" s="38"/>
      <c r="I5" s="39"/>
    </row>
    <row r="6" spans="1:9" ht="15" customHeight="1">
      <c r="A6" s="331" t="s">
        <v>371</v>
      </c>
      <c r="B6" s="332"/>
      <c r="C6" s="332"/>
      <c r="D6" s="332"/>
      <c r="E6" s="332"/>
      <c r="F6" s="332"/>
      <c r="G6" s="332"/>
      <c r="H6" s="40" t="s">
        <v>8</v>
      </c>
      <c r="I6" s="41"/>
    </row>
    <row r="7" spans="1:9" ht="15" customHeight="1">
      <c r="A7" s="340" t="s">
        <v>72</v>
      </c>
      <c r="B7" s="340"/>
      <c r="C7" s="340"/>
      <c r="D7" s="340"/>
      <c r="E7" s="340"/>
      <c r="F7" s="340"/>
      <c r="G7" s="340"/>
      <c r="H7" s="38"/>
      <c r="I7" s="42"/>
    </row>
    <row r="8" spans="1:9" ht="12.75">
      <c r="A8" s="35" t="s">
        <v>9</v>
      </c>
      <c r="B8" s="36"/>
      <c r="C8" s="36"/>
      <c r="D8" s="37"/>
      <c r="H8" s="38"/>
      <c r="I8" s="43"/>
    </row>
    <row r="9" spans="1:9" ht="13.5" thickBot="1">
      <c r="A9" s="35" t="s">
        <v>7</v>
      </c>
      <c r="B9" s="36"/>
      <c r="C9" s="36"/>
      <c r="D9" s="37"/>
      <c r="H9" s="38" t="s">
        <v>3</v>
      </c>
      <c r="I9" s="44">
        <v>383</v>
      </c>
    </row>
    <row r="10" spans="1:9" s="14" customFormat="1" ht="4.5" customHeight="1">
      <c r="A10" s="11"/>
      <c r="B10" s="11"/>
      <c r="C10" s="5"/>
      <c r="D10" s="5"/>
      <c r="E10" s="5"/>
      <c r="F10" s="5"/>
      <c r="G10" s="16"/>
      <c r="H10" s="17"/>
      <c r="I10" s="18"/>
    </row>
    <row r="11" spans="1:9" s="14" customFormat="1" ht="12.75" customHeight="1">
      <c r="A11" s="333" t="s">
        <v>12</v>
      </c>
      <c r="B11" s="333"/>
      <c r="C11" s="333"/>
      <c r="D11" s="333"/>
      <c r="E11" s="333"/>
      <c r="F11" s="333"/>
      <c r="G11" s="333"/>
      <c r="H11" s="17"/>
      <c r="I11" s="18"/>
    </row>
    <row r="12" spans="1:9" s="14" customFormat="1" ht="9" customHeight="1">
      <c r="A12" s="11"/>
      <c r="B12" s="11"/>
      <c r="C12" s="5"/>
      <c r="D12" s="5"/>
      <c r="E12" s="5"/>
      <c r="F12" s="5"/>
      <c r="G12" s="16"/>
      <c r="H12" s="17"/>
      <c r="I12" s="18"/>
    </row>
    <row r="13" spans="1:9" s="14" customFormat="1" ht="34.5" customHeight="1">
      <c r="A13" s="334" t="s">
        <v>4</v>
      </c>
      <c r="B13" s="336" t="s">
        <v>5</v>
      </c>
      <c r="C13" s="336" t="s">
        <v>13</v>
      </c>
      <c r="D13" s="338" t="s">
        <v>14</v>
      </c>
      <c r="E13" s="323" t="s">
        <v>15</v>
      </c>
      <c r="F13" s="324"/>
      <c r="G13" s="324"/>
      <c r="H13" s="325"/>
      <c r="I13" s="328" t="s">
        <v>20</v>
      </c>
    </row>
    <row r="14" spans="1:9" s="14" customFormat="1" ht="77.25" customHeight="1">
      <c r="A14" s="335"/>
      <c r="B14" s="337"/>
      <c r="C14" s="337"/>
      <c r="D14" s="339"/>
      <c r="E14" s="46" t="s">
        <v>16</v>
      </c>
      <c r="F14" s="45" t="s">
        <v>17</v>
      </c>
      <c r="G14" s="45" t="s">
        <v>18</v>
      </c>
      <c r="H14" s="45" t="s">
        <v>19</v>
      </c>
      <c r="I14" s="329"/>
    </row>
    <row r="15" spans="1:9" s="19" customFormat="1" ht="15" thickBot="1">
      <c r="A15" s="12">
        <v>1</v>
      </c>
      <c r="B15" s="13">
        <v>2</v>
      </c>
      <c r="C15" s="13">
        <v>3</v>
      </c>
      <c r="D15" s="13">
        <v>4</v>
      </c>
      <c r="E15" s="25">
        <v>5</v>
      </c>
      <c r="F15" s="13">
        <v>6</v>
      </c>
      <c r="G15" s="13">
        <v>7</v>
      </c>
      <c r="H15" s="26">
        <v>8</v>
      </c>
      <c r="I15" s="26">
        <v>9</v>
      </c>
    </row>
    <row r="16" spans="1:9" s="69" customFormat="1" ht="21" customHeight="1">
      <c r="A16" s="72" t="s">
        <v>43</v>
      </c>
      <c r="B16" s="68" t="s">
        <v>44</v>
      </c>
      <c r="C16" s="68"/>
      <c r="D16" s="293">
        <f aca="true" t="shared" si="0" ref="D16:I16">D18+D89</f>
        <v>3646206.81</v>
      </c>
      <c r="E16" s="293">
        <f t="shared" si="0"/>
        <v>1017734.86</v>
      </c>
      <c r="F16" s="293">
        <f t="shared" si="0"/>
        <v>0</v>
      </c>
      <c r="G16" s="293">
        <f t="shared" si="0"/>
        <v>0</v>
      </c>
      <c r="H16" s="293">
        <f>H18+H89</f>
        <v>1017734.86</v>
      </c>
      <c r="I16" s="293">
        <f t="shared" si="0"/>
        <v>2628471.95</v>
      </c>
    </row>
    <row r="17" spans="1:9" s="69" customFormat="1" ht="21" customHeight="1" hidden="1">
      <c r="A17" s="72"/>
      <c r="B17" s="68"/>
      <c r="C17" s="68"/>
      <c r="D17" s="293"/>
      <c r="E17" s="293"/>
      <c r="F17" s="293"/>
      <c r="G17" s="293"/>
      <c r="H17" s="293"/>
      <c r="I17" s="293"/>
    </row>
    <row r="18" spans="1:9" s="69" customFormat="1" ht="17.25" customHeight="1">
      <c r="A18" s="71" t="s">
        <v>96</v>
      </c>
      <c r="B18" s="68" t="s">
        <v>44</v>
      </c>
      <c r="C18" s="68"/>
      <c r="D18" s="294">
        <f aca="true" t="shared" si="1" ref="D18:I18">D48+D53+D57+D61+D64+D66+D68</f>
        <v>615700</v>
      </c>
      <c r="E18" s="294">
        <f t="shared" si="1"/>
        <v>189083.54</v>
      </c>
      <c r="F18" s="294">
        <f t="shared" si="1"/>
        <v>0</v>
      </c>
      <c r="G18" s="294">
        <f t="shared" si="1"/>
        <v>0</v>
      </c>
      <c r="H18" s="294">
        <f>H48+H53+H57+H61+H64+H66+H68</f>
        <v>189083.54</v>
      </c>
      <c r="I18" s="294">
        <f t="shared" si="1"/>
        <v>426616.46</v>
      </c>
    </row>
    <row r="19" spans="1:9" s="69" customFormat="1" ht="42" customHeight="1">
      <c r="A19" s="245" t="s">
        <v>140</v>
      </c>
      <c r="B19" s="246" t="s">
        <v>44</v>
      </c>
      <c r="C19" s="179" t="s">
        <v>302</v>
      </c>
      <c r="D19" s="295">
        <v>31000</v>
      </c>
      <c r="E19" s="295">
        <f>H19</f>
        <v>22788.079999999998</v>
      </c>
      <c r="F19" s="295"/>
      <c r="G19" s="295"/>
      <c r="H19" s="295">
        <f>427.86+333.82+18995.94+3030.46</f>
        <v>22788.079999999998</v>
      </c>
      <c r="I19" s="295">
        <f>D19-H19</f>
        <v>8211.920000000002</v>
      </c>
    </row>
    <row r="20" spans="1:9" s="69" customFormat="1" ht="60.75" customHeight="1" hidden="1">
      <c r="A20" s="245" t="s">
        <v>394</v>
      </c>
      <c r="B20" s="246" t="s">
        <v>44</v>
      </c>
      <c r="C20" s="181" t="s">
        <v>392</v>
      </c>
      <c r="D20" s="295">
        <v>0</v>
      </c>
      <c r="E20" s="295">
        <f>H20</f>
        <v>0</v>
      </c>
      <c r="F20" s="295"/>
      <c r="G20" s="295"/>
      <c r="H20" s="295">
        <v>0</v>
      </c>
      <c r="I20" s="295">
        <f>D20-H20</f>
        <v>0</v>
      </c>
    </row>
    <row r="21" spans="1:9" s="69" customFormat="1" ht="27.75" customHeight="1">
      <c r="A21" s="245" t="s">
        <v>215</v>
      </c>
      <c r="B21" s="246" t="s">
        <v>44</v>
      </c>
      <c r="C21" s="181" t="s">
        <v>393</v>
      </c>
      <c r="D21" s="295">
        <v>0</v>
      </c>
      <c r="E21" s="295">
        <f>H21</f>
        <v>-395.8</v>
      </c>
      <c r="F21" s="295"/>
      <c r="G21" s="295"/>
      <c r="H21" s="295">
        <f>-395.42-0.38</f>
        <v>-395.8</v>
      </c>
      <c r="I21" s="295">
        <f>D21-H21</f>
        <v>395.8</v>
      </c>
    </row>
    <row r="22" spans="1:9" s="69" customFormat="1" ht="21.75" customHeight="1">
      <c r="A22" s="247" t="s">
        <v>92</v>
      </c>
      <c r="B22" s="248"/>
      <c r="C22" s="67">
        <v>182101</v>
      </c>
      <c r="D22" s="296">
        <f aca="true" t="shared" si="2" ref="D22:I22">D19+D20+D21</f>
        <v>31000</v>
      </c>
      <c r="E22" s="296">
        <f t="shared" si="2"/>
        <v>22392.28</v>
      </c>
      <c r="F22" s="296">
        <f t="shared" si="2"/>
        <v>0</v>
      </c>
      <c r="G22" s="296">
        <f t="shared" si="2"/>
        <v>0</v>
      </c>
      <c r="H22" s="296">
        <f t="shared" si="2"/>
        <v>22392.28</v>
      </c>
      <c r="I22" s="296">
        <f t="shared" si="2"/>
        <v>8607.720000000001</v>
      </c>
    </row>
    <row r="23" spans="1:9" s="69" customFormat="1" ht="67.5" customHeight="1" hidden="1">
      <c r="A23" s="245" t="s">
        <v>149</v>
      </c>
      <c r="B23" s="246" t="s">
        <v>44</v>
      </c>
      <c r="C23" s="291" t="s">
        <v>153</v>
      </c>
      <c r="D23" s="295"/>
      <c r="E23" s="297"/>
      <c r="F23" s="297"/>
      <c r="G23" s="297"/>
      <c r="H23" s="297"/>
      <c r="I23" s="295"/>
    </row>
    <row r="24" spans="1:9" s="69" customFormat="1" ht="92.25" customHeight="1" hidden="1">
      <c r="A24" s="245" t="s">
        <v>150</v>
      </c>
      <c r="B24" s="246" t="s">
        <v>44</v>
      </c>
      <c r="C24" s="291" t="s">
        <v>154</v>
      </c>
      <c r="D24" s="295"/>
      <c r="E24" s="297"/>
      <c r="F24" s="297"/>
      <c r="G24" s="297"/>
      <c r="H24" s="297"/>
      <c r="I24" s="295"/>
    </row>
    <row r="25" spans="1:9" s="69" customFormat="1" ht="81" customHeight="1" hidden="1">
      <c r="A25" s="245" t="s">
        <v>151</v>
      </c>
      <c r="B25" s="246" t="s">
        <v>44</v>
      </c>
      <c r="C25" s="291" t="s">
        <v>155</v>
      </c>
      <c r="D25" s="295"/>
      <c r="E25" s="297"/>
      <c r="F25" s="297"/>
      <c r="G25" s="297"/>
      <c r="H25" s="297"/>
      <c r="I25" s="295"/>
    </row>
    <row r="26" spans="1:9" s="69" customFormat="1" ht="76.5" customHeight="1" hidden="1">
      <c r="A26" s="245" t="s">
        <v>152</v>
      </c>
      <c r="B26" s="246" t="s">
        <v>44</v>
      </c>
      <c r="C26" s="291" t="s">
        <v>156</v>
      </c>
      <c r="D26" s="295"/>
      <c r="E26" s="297"/>
      <c r="F26" s="297"/>
      <c r="G26" s="297"/>
      <c r="H26" s="297"/>
      <c r="I26" s="295"/>
    </row>
    <row r="27" spans="1:9" s="69" customFormat="1" ht="21" customHeight="1" hidden="1">
      <c r="A27" s="247" t="s">
        <v>92</v>
      </c>
      <c r="B27" s="247"/>
      <c r="C27" s="67">
        <v>182103</v>
      </c>
      <c r="D27" s="296"/>
      <c r="E27" s="296"/>
      <c r="F27" s="296"/>
      <c r="G27" s="296"/>
      <c r="H27" s="296"/>
      <c r="I27" s="295"/>
    </row>
    <row r="28" spans="1:9" s="21" customFormat="1" ht="76.5" customHeight="1" hidden="1">
      <c r="A28" s="245" t="s">
        <v>140</v>
      </c>
      <c r="B28" s="246" t="s">
        <v>44</v>
      </c>
      <c r="C28" s="291" t="s">
        <v>148</v>
      </c>
      <c r="D28" s="295"/>
      <c r="E28" s="295"/>
      <c r="F28" s="295"/>
      <c r="G28" s="295"/>
      <c r="H28" s="295"/>
      <c r="I28" s="295"/>
    </row>
    <row r="29" spans="1:9" s="21" customFormat="1" ht="89.25" customHeight="1" hidden="1">
      <c r="A29" s="249" t="s">
        <v>141</v>
      </c>
      <c r="B29" s="246" t="s">
        <v>44</v>
      </c>
      <c r="C29" s="291" t="s">
        <v>139</v>
      </c>
      <c r="D29" s="295"/>
      <c r="E29" s="295"/>
      <c r="F29" s="295"/>
      <c r="G29" s="295"/>
      <c r="H29" s="295"/>
      <c r="I29" s="295"/>
    </row>
    <row r="30" spans="1:9" s="21" customFormat="1" ht="47.25" customHeight="1" hidden="1">
      <c r="A30" s="249" t="s">
        <v>93</v>
      </c>
      <c r="B30" s="246" t="s">
        <v>44</v>
      </c>
      <c r="C30" s="291" t="s">
        <v>45</v>
      </c>
      <c r="D30" s="295"/>
      <c r="E30" s="295"/>
      <c r="F30" s="295"/>
      <c r="G30" s="295"/>
      <c r="H30" s="295"/>
      <c r="I30" s="295"/>
    </row>
    <row r="31" spans="1:9" s="21" customFormat="1" ht="36.75" customHeight="1" hidden="1">
      <c r="A31" s="249" t="s">
        <v>101</v>
      </c>
      <c r="B31" s="246" t="s">
        <v>44</v>
      </c>
      <c r="C31" s="291" t="s">
        <v>105</v>
      </c>
      <c r="D31" s="295"/>
      <c r="E31" s="295"/>
      <c r="F31" s="295"/>
      <c r="G31" s="295"/>
      <c r="H31" s="295"/>
      <c r="I31" s="295"/>
    </row>
    <row r="32" spans="1:9" s="21" customFormat="1" ht="6" customHeight="1" hidden="1">
      <c r="A32" s="249"/>
      <c r="B32" s="246"/>
      <c r="C32" s="291"/>
      <c r="D32" s="295"/>
      <c r="E32" s="295"/>
      <c r="F32" s="295"/>
      <c r="G32" s="295"/>
      <c r="H32" s="295"/>
      <c r="I32" s="295"/>
    </row>
    <row r="33" spans="1:9" s="21" customFormat="1" ht="21.75" customHeight="1" hidden="1">
      <c r="A33" s="247" t="s">
        <v>92</v>
      </c>
      <c r="B33" s="247"/>
      <c r="C33" s="67">
        <v>182101</v>
      </c>
      <c r="D33" s="296"/>
      <c r="E33" s="296"/>
      <c r="F33" s="296"/>
      <c r="G33" s="296"/>
      <c r="H33" s="296"/>
      <c r="I33" s="295"/>
    </row>
    <row r="34" spans="1:9" s="21" customFormat="1" ht="18.75" customHeight="1">
      <c r="A34" s="245" t="s">
        <v>169</v>
      </c>
      <c r="B34" s="246" t="s">
        <v>44</v>
      </c>
      <c r="C34" s="179" t="s">
        <v>316</v>
      </c>
      <c r="D34" s="295">
        <v>1000</v>
      </c>
      <c r="E34" s="295">
        <f>H34</f>
        <v>10387.74</v>
      </c>
      <c r="F34" s="295"/>
      <c r="G34" s="295"/>
      <c r="H34" s="295">
        <f>2191.14+8196.6</f>
        <v>10387.74</v>
      </c>
      <c r="I34" s="295">
        <f>D34-H34</f>
        <v>-9387.74</v>
      </c>
    </row>
    <row r="35" spans="1:9" s="21" customFormat="1" ht="23.25" customHeight="1" hidden="1">
      <c r="A35" s="245" t="s">
        <v>216</v>
      </c>
      <c r="B35" s="246" t="s">
        <v>44</v>
      </c>
      <c r="C35" s="181" t="s">
        <v>301</v>
      </c>
      <c r="D35" s="295"/>
      <c r="E35" s="295"/>
      <c r="F35" s="295"/>
      <c r="G35" s="295"/>
      <c r="H35" s="295"/>
      <c r="I35" s="295"/>
    </row>
    <row r="36" spans="1:9" s="21" customFormat="1" ht="26.25" customHeight="1" hidden="1">
      <c r="A36" s="249" t="s">
        <v>94</v>
      </c>
      <c r="B36" s="246" t="s">
        <v>44</v>
      </c>
      <c r="C36" s="291" t="s">
        <v>122</v>
      </c>
      <c r="D36" s="295"/>
      <c r="E36" s="295"/>
      <c r="F36" s="295"/>
      <c r="G36" s="295"/>
      <c r="H36" s="295"/>
      <c r="I36" s="295"/>
    </row>
    <row r="37" spans="1:9" s="21" customFormat="1" ht="1.5" customHeight="1" hidden="1">
      <c r="A37" s="249" t="s">
        <v>119</v>
      </c>
      <c r="B37" s="246" t="s">
        <v>44</v>
      </c>
      <c r="C37" s="291" t="s">
        <v>123</v>
      </c>
      <c r="D37" s="295"/>
      <c r="E37" s="295"/>
      <c r="F37" s="295"/>
      <c r="G37" s="295"/>
      <c r="H37" s="295"/>
      <c r="I37" s="295"/>
    </row>
    <row r="38" spans="1:9" s="21" customFormat="1" ht="14.25" hidden="1">
      <c r="A38" s="249" t="s">
        <v>94</v>
      </c>
      <c r="B38" s="246" t="s">
        <v>44</v>
      </c>
      <c r="C38" s="291" t="s">
        <v>124</v>
      </c>
      <c r="D38" s="295"/>
      <c r="E38" s="295"/>
      <c r="F38" s="295"/>
      <c r="G38" s="295"/>
      <c r="H38" s="295"/>
      <c r="I38" s="295"/>
    </row>
    <row r="39" spans="1:9" s="21" customFormat="1" ht="22.5" customHeight="1">
      <c r="A39" s="247" t="s">
        <v>92</v>
      </c>
      <c r="B39" s="247"/>
      <c r="C39" s="67">
        <v>182105</v>
      </c>
      <c r="D39" s="296">
        <f aca="true" t="shared" si="3" ref="D39:I39">D34</f>
        <v>1000</v>
      </c>
      <c r="E39" s="296">
        <f t="shared" si="3"/>
        <v>10387.74</v>
      </c>
      <c r="F39" s="296">
        <f t="shared" si="3"/>
        <v>0</v>
      </c>
      <c r="G39" s="296">
        <f t="shared" si="3"/>
        <v>0</v>
      </c>
      <c r="H39" s="296">
        <f t="shared" si="3"/>
        <v>10387.74</v>
      </c>
      <c r="I39" s="296">
        <f t="shared" si="3"/>
        <v>-9387.74</v>
      </c>
    </row>
    <row r="40" spans="1:9" s="21" customFormat="1" ht="22.5" customHeight="1">
      <c r="A40" s="245" t="s">
        <v>398</v>
      </c>
      <c r="B40" s="246" t="s">
        <v>44</v>
      </c>
      <c r="C40" s="230" t="s">
        <v>303</v>
      </c>
      <c r="D40" s="295">
        <v>11000</v>
      </c>
      <c r="E40" s="295">
        <f>H40</f>
        <v>-686.2800000000001</v>
      </c>
      <c r="F40" s="295"/>
      <c r="G40" s="295"/>
      <c r="H40" s="295">
        <f>552.07-1398.39+18.04+142</f>
        <v>-686.2800000000001</v>
      </c>
      <c r="I40" s="295">
        <f>D40-H40</f>
        <v>11686.28</v>
      </c>
    </row>
    <row r="41" spans="1:9" s="21" customFormat="1" ht="22.5" customHeight="1" hidden="1">
      <c r="A41" s="249" t="s">
        <v>397</v>
      </c>
      <c r="B41" s="246" t="s">
        <v>44</v>
      </c>
      <c r="C41" s="181" t="s">
        <v>476</v>
      </c>
      <c r="D41" s="295">
        <v>0</v>
      </c>
      <c r="E41" s="295">
        <f>H41</f>
        <v>0</v>
      </c>
      <c r="F41" s="295"/>
      <c r="G41" s="295"/>
      <c r="H41" s="295">
        <v>0</v>
      </c>
      <c r="I41" s="295">
        <f>D41-H41</f>
        <v>0</v>
      </c>
    </row>
    <row r="42" spans="1:9" s="21" customFormat="1" ht="22.5" customHeight="1">
      <c r="A42" s="245" t="s">
        <v>399</v>
      </c>
      <c r="B42" s="246" t="s">
        <v>44</v>
      </c>
      <c r="C42" s="231" t="s">
        <v>293</v>
      </c>
      <c r="D42" s="295">
        <v>188000</v>
      </c>
      <c r="E42" s="295">
        <f>H42</f>
        <v>104621</v>
      </c>
      <c r="F42" s="295"/>
      <c r="G42" s="295"/>
      <c r="H42" s="295">
        <f>62446+42175</f>
        <v>104621</v>
      </c>
      <c r="I42" s="295">
        <f>D42-H42</f>
        <v>83379</v>
      </c>
    </row>
    <row r="43" spans="1:9" s="21" customFormat="1" ht="22.5" customHeight="1" hidden="1">
      <c r="A43" s="249" t="s">
        <v>46</v>
      </c>
      <c r="B43" s="246" t="s">
        <v>44</v>
      </c>
      <c r="C43" s="181" t="s">
        <v>106</v>
      </c>
      <c r="D43" s="295"/>
      <c r="E43" s="295">
        <f>H43</f>
        <v>0</v>
      </c>
      <c r="F43" s="295"/>
      <c r="G43" s="295"/>
      <c r="H43" s="295"/>
      <c r="I43" s="295">
        <f>D43-H43</f>
        <v>0</v>
      </c>
    </row>
    <row r="44" spans="1:9" s="21" customFormat="1" ht="22.5" customHeight="1">
      <c r="A44" s="245" t="s">
        <v>400</v>
      </c>
      <c r="B44" s="246" t="s">
        <v>44</v>
      </c>
      <c r="C44" s="231" t="s">
        <v>294</v>
      </c>
      <c r="D44" s="295">
        <v>249000</v>
      </c>
      <c r="E44" s="295">
        <f>H44</f>
        <v>9672.72</v>
      </c>
      <c r="F44" s="295"/>
      <c r="G44" s="295"/>
      <c r="H44" s="295">
        <f>-1399.5-826.6+11565.82+333</f>
        <v>9672.72</v>
      </c>
      <c r="I44" s="295">
        <f>D44-H44</f>
        <v>239327.28</v>
      </c>
    </row>
    <row r="45" spans="1:9" s="21" customFormat="1" ht="22.5" customHeight="1" hidden="1">
      <c r="A45" s="249" t="s">
        <v>85</v>
      </c>
      <c r="B45" s="246" t="s">
        <v>44</v>
      </c>
      <c r="C45" s="181" t="s">
        <v>107</v>
      </c>
      <c r="D45" s="295"/>
      <c r="E45" s="295"/>
      <c r="F45" s="295"/>
      <c r="G45" s="295"/>
      <c r="H45" s="295"/>
      <c r="I45" s="295"/>
    </row>
    <row r="46" spans="1:9" s="21" customFormat="1" ht="22.5" customHeight="1" hidden="1">
      <c r="A46" s="249" t="s">
        <v>95</v>
      </c>
      <c r="B46" s="246" t="s">
        <v>44</v>
      </c>
      <c r="C46" s="181" t="s">
        <v>108</v>
      </c>
      <c r="D46" s="295"/>
      <c r="E46" s="295"/>
      <c r="F46" s="295"/>
      <c r="G46" s="295"/>
      <c r="H46" s="295"/>
      <c r="I46" s="295"/>
    </row>
    <row r="47" spans="1:9" s="21" customFormat="1" ht="18.75" customHeight="1">
      <c r="A47" s="247" t="s">
        <v>92</v>
      </c>
      <c r="B47" s="246"/>
      <c r="C47" s="67">
        <v>182106</v>
      </c>
      <c r="D47" s="296">
        <f aca="true" t="shared" si="4" ref="D47:I47">D44+D42+D41+D40</f>
        <v>448000</v>
      </c>
      <c r="E47" s="296">
        <f t="shared" si="4"/>
        <v>113607.44</v>
      </c>
      <c r="F47" s="296">
        <f t="shared" si="4"/>
        <v>0</v>
      </c>
      <c r="G47" s="296">
        <f t="shared" si="4"/>
        <v>0</v>
      </c>
      <c r="H47" s="296">
        <f t="shared" si="4"/>
        <v>113607.44</v>
      </c>
      <c r="I47" s="296">
        <f t="shared" si="4"/>
        <v>334392.56000000006</v>
      </c>
    </row>
    <row r="48" spans="1:9" s="21" customFormat="1" ht="17.25" customHeight="1">
      <c r="A48" s="247" t="s">
        <v>92</v>
      </c>
      <c r="B48" s="246"/>
      <c r="C48" s="67">
        <v>182</v>
      </c>
      <c r="D48" s="296">
        <f aca="true" t="shared" si="5" ref="D48:I48">D47+D39+D22</f>
        <v>480000</v>
      </c>
      <c r="E48" s="296">
        <f t="shared" si="5"/>
        <v>146387.46000000002</v>
      </c>
      <c r="F48" s="296">
        <f t="shared" si="5"/>
        <v>0</v>
      </c>
      <c r="G48" s="296">
        <f t="shared" si="5"/>
        <v>0</v>
      </c>
      <c r="H48" s="296">
        <f>H47+H39+H22</f>
        <v>146387.46000000002</v>
      </c>
      <c r="I48" s="296">
        <f t="shared" si="5"/>
        <v>333612.54000000004</v>
      </c>
    </row>
    <row r="49" spans="1:9" s="21" customFormat="1" ht="78" customHeight="1" hidden="1">
      <c r="A49" s="244" t="s">
        <v>126</v>
      </c>
      <c r="B49" s="246" t="s">
        <v>44</v>
      </c>
      <c r="C49" s="179" t="s">
        <v>295</v>
      </c>
      <c r="D49" s="295"/>
      <c r="E49" s="295"/>
      <c r="F49" s="295"/>
      <c r="G49" s="295"/>
      <c r="H49" s="295"/>
      <c r="I49" s="295"/>
    </row>
    <row r="50" spans="1:9" s="21" customFormat="1" ht="15" customHeight="1" hidden="1">
      <c r="A50" s="247" t="s">
        <v>92</v>
      </c>
      <c r="B50" s="247"/>
      <c r="C50" s="67">
        <v>866108</v>
      </c>
      <c r="D50" s="296"/>
      <c r="E50" s="296"/>
      <c r="F50" s="296"/>
      <c r="G50" s="296"/>
      <c r="H50" s="296"/>
      <c r="I50" s="295"/>
    </row>
    <row r="51" spans="1:9" s="21" customFormat="1" ht="27.75" customHeight="1" hidden="1">
      <c r="A51" s="245" t="s">
        <v>401</v>
      </c>
      <c r="B51" s="246" t="s">
        <v>44</v>
      </c>
      <c r="C51" s="291" t="s">
        <v>129</v>
      </c>
      <c r="D51" s="295"/>
      <c r="E51" s="295">
        <f>H51</f>
        <v>0</v>
      </c>
      <c r="F51" s="295"/>
      <c r="G51" s="295"/>
      <c r="H51" s="295">
        <f>-43.14+43.14</f>
        <v>0</v>
      </c>
      <c r="I51" s="295">
        <f>D51-H51</f>
        <v>0</v>
      </c>
    </row>
    <row r="52" spans="1:9" s="21" customFormat="1" ht="29.25" customHeight="1" hidden="1">
      <c r="A52" s="245" t="s">
        <v>402</v>
      </c>
      <c r="B52" s="246" t="s">
        <v>44</v>
      </c>
      <c r="C52" s="291" t="s">
        <v>130</v>
      </c>
      <c r="D52" s="295"/>
      <c r="E52" s="295">
        <f>H52</f>
        <v>0</v>
      </c>
      <c r="F52" s="295"/>
      <c r="G52" s="295"/>
      <c r="H52" s="295"/>
      <c r="I52" s="295">
        <f>D52-H52</f>
        <v>0</v>
      </c>
    </row>
    <row r="53" spans="1:9" s="21" customFormat="1" ht="18.75" customHeight="1" hidden="1">
      <c r="A53" s="247" t="s">
        <v>92</v>
      </c>
      <c r="B53" s="247"/>
      <c r="C53" s="67">
        <v>182109</v>
      </c>
      <c r="D53" s="296">
        <f aca="true" t="shared" si="6" ref="D53:I53">D51+D52</f>
        <v>0</v>
      </c>
      <c r="E53" s="296">
        <f t="shared" si="6"/>
        <v>0</v>
      </c>
      <c r="F53" s="296">
        <f t="shared" si="6"/>
        <v>0</v>
      </c>
      <c r="G53" s="296">
        <f t="shared" si="6"/>
        <v>0</v>
      </c>
      <c r="H53" s="296">
        <f t="shared" si="6"/>
        <v>0</v>
      </c>
      <c r="I53" s="296">
        <f t="shared" si="6"/>
        <v>0</v>
      </c>
    </row>
    <row r="54" spans="1:9" s="21" customFormat="1" ht="48" customHeight="1" hidden="1">
      <c r="A54" s="245" t="s">
        <v>47</v>
      </c>
      <c r="B54" s="246" t="s">
        <v>44</v>
      </c>
      <c r="C54" s="291" t="s">
        <v>133</v>
      </c>
      <c r="D54" s="295"/>
      <c r="E54" s="295"/>
      <c r="F54" s="295"/>
      <c r="G54" s="295"/>
      <c r="H54" s="295"/>
      <c r="I54" s="295"/>
    </row>
    <row r="55" spans="1:9" s="21" customFormat="1" ht="78.75" customHeight="1" hidden="1">
      <c r="A55" s="244" t="s">
        <v>126</v>
      </c>
      <c r="B55" s="246" t="s">
        <v>44</v>
      </c>
      <c r="C55" s="298" t="s">
        <v>135</v>
      </c>
      <c r="D55" s="295"/>
      <c r="E55" s="295"/>
      <c r="F55" s="295"/>
      <c r="G55" s="295"/>
      <c r="H55" s="295"/>
      <c r="I55" s="295"/>
    </row>
    <row r="56" spans="1:9" s="21" customFormat="1" ht="41.25" customHeight="1">
      <c r="A56" s="245" t="s">
        <v>403</v>
      </c>
      <c r="B56" s="246" t="s">
        <v>44</v>
      </c>
      <c r="C56" s="179" t="s">
        <v>296</v>
      </c>
      <c r="D56" s="295">
        <v>124500</v>
      </c>
      <c r="E56" s="295">
        <f>H56</f>
        <v>38861.8</v>
      </c>
      <c r="F56" s="295"/>
      <c r="G56" s="295"/>
      <c r="H56" s="295">
        <f>7724.2+7724.2+7724.2+15689.2</f>
        <v>38861.8</v>
      </c>
      <c r="I56" s="295">
        <f>D56-H56</f>
        <v>85638.2</v>
      </c>
    </row>
    <row r="57" spans="1:9" s="21" customFormat="1" ht="16.5" customHeight="1">
      <c r="A57" s="247" t="s">
        <v>92</v>
      </c>
      <c r="B57" s="247"/>
      <c r="C57" s="67">
        <v>866111</v>
      </c>
      <c r="D57" s="296">
        <f aca="true" t="shared" si="7" ref="D57:I57">D56</f>
        <v>124500</v>
      </c>
      <c r="E57" s="296">
        <f t="shared" si="7"/>
        <v>38861.8</v>
      </c>
      <c r="F57" s="296">
        <f t="shared" si="7"/>
        <v>0</v>
      </c>
      <c r="G57" s="296">
        <f t="shared" si="7"/>
        <v>0</v>
      </c>
      <c r="H57" s="296">
        <f t="shared" si="7"/>
        <v>38861.8</v>
      </c>
      <c r="I57" s="296">
        <f t="shared" si="7"/>
        <v>85638.2</v>
      </c>
    </row>
    <row r="58" spans="1:9" s="21" customFormat="1" ht="30.75" customHeight="1" hidden="1">
      <c r="A58" s="249" t="s">
        <v>121</v>
      </c>
      <c r="B58" s="246">
        <v>10</v>
      </c>
      <c r="C58" s="291" t="s">
        <v>120</v>
      </c>
      <c r="D58" s="295"/>
      <c r="E58" s="295"/>
      <c r="F58" s="295"/>
      <c r="G58" s="295"/>
      <c r="H58" s="295"/>
      <c r="I58" s="295"/>
    </row>
    <row r="59" spans="1:9" s="21" customFormat="1" ht="18.75" customHeight="1" hidden="1">
      <c r="A59" s="247" t="s">
        <v>92</v>
      </c>
      <c r="B59" s="247"/>
      <c r="C59" s="67">
        <v>851114</v>
      </c>
      <c r="D59" s="296"/>
      <c r="E59" s="296"/>
      <c r="F59" s="296"/>
      <c r="G59" s="296"/>
      <c r="H59" s="296"/>
      <c r="I59" s="296"/>
    </row>
    <row r="60" spans="1:9" s="21" customFormat="1" ht="18.75" customHeight="1">
      <c r="A60" s="245" t="s">
        <v>173</v>
      </c>
      <c r="B60" s="246" t="s">
        <v>44</v>
      </c>
      <c r="C60" s="179" t="s">
        <v>297</v>
      </c>
      <c r="D60" s="295">
        <v>11200</v>
      </c>
      <c r="E60" s="295">
        <f>H60</f>
        <v>3834.28</v>
      </c>
      <c r="F60" s="295"/>
      <c r="G60" s="295"/>
      <c r="H60" s="295">
        <f>3834.28</f>
        <v>3834.28</v>
      </c>
      <c r="I60" s="295">
        <f>D60-H60</f>
        <v>7365.719999999999</v>
      </c>
    </row>
    <row r="61" spans="1:9" s="21" customFormat="1" ht="15.75" customHeight="1">
      <c r="A61" s="247" t="s">
        <v>92</v>
      </c>
      <c r="B61" s="246"/>
      <c r="C61" s="85" t="s">
        <v>366</v>
      </c>
      <c r="D61" s="299">
        <f aca="true" t="shared" si="8" ref="D61:I61">D60</f>
        <v>11200</v>
      </c>
      <c r="E61" s="299">
        <f t="shared" si="8"/>
        <v>3834.28</v>
      </c>
      <c r="F61" s="299">
        <f t="shared" si="8"/>
        <v>0</v>
      </c>
      <c r="G61" s="299">
        <f t="shared" si="8"/>
        <v>0</v>
      </c>
      <c r="H61" s="299">
        <f t="shared" si="8"/>
        <v>3834.28</v>
      </c>
      <c r="I61" s="299">
        <f t="shared" si="8"/>
        <v>7365.719999999999</v>
      </c>
    </row>
    <row r="62" spans="1:9" s="21" customFormat="1" ht="48" customHeight="1" hidden="1">
      <c r="A62" s="245" t="s">
        <v>477</v>
      </c>
      <c r="B62" s="249"/>
      <c r="C62" s="291" t="s">
        <v>478</v>
      </c>
      <c r="D62" s="295">
        <v>0</v>
      </c>
      <c r="E62" s="295">
        <f>H62</f>
        <v>0</v>
      </c>
      <c r="F62" s="295"/>
      <c r="G62" s="295"/>
      <c r="H62" s="295">
        <v>0</v>
      </c>
      <c r="I62" s="295">
        <f>D62-H62</f>
        <v>0</v>
      </c>
    </row>
    <row r="63" spans="1:9" s="21" customFormat="1" ht="35.25" customHeight="1" hidden="1">
      <c r="A63" s="245" t="s">
        <v>365</v>
      </c>
      <c r="B63" s="246" t="s">
        <v>44</v>
      </c>
      <c r="C63" s="181" t="s">
        <v>364</v>
      </c>
      <c r="D63" s="295">
        <v>0</v>
      </c>
      <c r="E63" s="295">
        <f>H63</f>
        <v>0</v>
      </c>
      <c r="F63" s="295"/>
      <c r="G63" s="295"/>
      <c r="H63" s="295">
        <v>0</v>
      </c>
      <c r="I63" s="295">
        <f>D63-H63</f>
        <v>0</v>
      </c>
    </row>
    <row r="64" spans="1:9" s="21" customFormat="1" ht="18" customHeight="1" hidden="1">
      <c r="A64" s="247" t="s">
        <v>92</v>
      </c>
      <c r="B64" s="247"/>
      <c r="C64" s="67">
        <v>866114</v>
      </c>
      <c r="D64" s="296">
        <f>D63+D62</f>
        <v>0</v>
      </c>
      <c r="E64" s="296">
        <f>E63+E62</f>
        <v>0</v>
      </c>
      <c r="F64" s="296">
        <f>F63+F62</f>
        <v>0</v>
      </c>
      <c r="G64" s="296">
        <f>G63+G62</f>
        <v>0</v>
      </c>
      <c r="H64" s="296">
        <f>H63+H62</f>
        <v>0</v>
      </c>
      <c r="I64" s="296">
        <f>I63</f>
        <v>0</v>
      </c>
    </row>
    <row r="65" spans="1:9" s="21" customFormat="1" ht="39.75" customHeight="1" hidden="1">
      <c r="A65" s="250" t="s">
        <v>395</v>
      </c>
      <c r="B65" s="247"/>
      <c r="C65" s="233" t="s">
        <v>396</v>
      </c>
      <c r="D65" s="300"/>
      <c r="E65" s="301">
        <f>H65</f>
        <v>0</v>
      </c>
      <c r="F65" s="301"/>
      <c r="G65" s="301"/>
      <c r="H65" s="301"/>
      <c r="I65" s="295">
        <f>D65-H65</f>
        <v>0</v>
      </c>
    </row>
    <row r="66" spans="1:9" s="21" customFormat="1" ht="18" customHeight="1" hidden="1">
      <c r="A66" s="247" t="s">
        <v>92</v>
      </c>
      <c r="B66" s="247"/>
      <c r="C66" s="67">
        <v>866116</v>
      </c>
      <c r="D66" s="296">
        <f aca="true" t="shared" si="9" ref="D66:I66">D65</f>
        <v>0</v>
      </c>
      <c r="E66" s="296">
        <f t="shared" si="9"/>
        <v>0</v>
      </c>
      <c r="F66" s="296">
        <f t="shared" si="9"/>
        <v>0</v>
      </c>
      <c r="G66" s="296">
        <f t="shared" si="9"/>
        <v>0</v>
      </c>
      <c r="H66" s="296">
        <f t="shared" si="9"/>
        <v>0</v>
      </c>
      <c r="I66" s="296">
        <f t="shared" si="9"/>
        <v>0</v>
      </c>
    </row>
    <row r="67" spans="1:9" s="21" customFormat="1" ht="21" customHeight="1" hidden="1">
      <c r="A67" s="245" t="s">
        <v>179</v>
      </c>
      <c r="B67" s="251" t="s">
        <v>44</v>
      </c>
      <c r="C67" s="292" t="s">
        <v>114</v>
      </c>
      <c r="D67" s="302">
        <v>0</v>
      </c>
      <c r="E67" s="295">
        <f>H67</f>
        <v>0</v>
      </c>
      <c r="F67" s="295"/>
      <c r="G67" s="295"/>
      <c r="H67" s="295">
        <v>0</v>
      </c>
      <c r="I67" s="295">
        <f>D67-H67</f>
        <v>0</v>
      </c>
    </row>
    <row r="68" spans="1:9" s="21" customFormat="1" ht="19.5" customHeight="1" hidden="1">
      <c r="A68" s="247" t="s">
        <v>92</v>
      </c>
      <c r="B68" s="247"/>
      <c r="C68" s="67">
        <v>866117</v>
      </c>
      <c r="D68" s="296">
        <f aca="true" t="shared" si="10" ref="D68:I68">D67</f>
        <v>0</v>
      </c>
      <c r="E68" s="296">
        <f t="shared" si="10"/>
        <v>0</v>
      </c>
      <c r="F68" s="296">
        <f t="shared" si="10"/>
        <v>0</v>
      </c>
      <c r="G68" s="296">
        <f t="shared" si="10"/>
        <v>0</v>
      </c>
      <c r="H68" s="296">
        <f t="shared" si="10"/>
        <v>0</v>
      </c>
      <c r="I68" s="296">
        <f t="shared" si="10"/>
        <v>0</v>
      </c>
    </row>
    <row r="69" spans="1:9" s="21" customFormat="1" ht="23.25" customHeight="1">
      <c r="A69" s="249" t="s">
        <v>404</v>
      </c>
      <c r="B69" s="246" t="s">
        <v>44</v>
      </c>
      <c r="C69" s="178" t="s">
        <v>327</v>
      </c>
      <c r="D69" s="295">
        <v>604983</v>
      </c>
      <c r="E69" s="295">
        <f>H69</f>
        <v>201660</v>
      </c>
      <c r="F69" s="295"/>
      <c r="G69" s="295"/>
      <c r="H69" s="295">
        <f>50415+100830+50415</f>
        <v>201660</v>
      </c>
      <c r="I69" s="295">
        <f>D69-H69</f>
        <v>403323</v>
      </c>
    </row>
    <row r="70" spans="1:9" s="21" customFormat="1" ht="34.5" customHeight="1" hidden="1">
      <c r="A70" s="245"/>
      <c r="B70" s="246"/>
      <c r="C70" s="291"/>
      <c r="D70" s="295"/>
      <c r="E70" s="295">
        <f aca="true" t="shared" si="11" ref="E70:E88">H70</f>
        <v>0</v>
      </c>
      <c r="F70" s="295"/>
      <c r="G70" s="295"/>
      <c r="H70" s="295"/>
      <c r="I70" s="295">
        <f aca="true" t="shared" si="12" ref="I70:I88">D70-H70</f>
        <v>0</v>
      </c>
    </row>
    <row r="71" spans="1:9" s="21" customFormat="1" ht="18" customHeight="1">
      <c r="A71" s="249" t="s">
        <v>405</v>
      </c>
      <c r="B71" s="246" t="s">
        <v>44</v>
      </c>
      <c r="C71" s="178" t="s">
        <v>377</v>
      </c>
      <c r="D71" s="302">
        <v>95458</v>
      </c>
      <c r="E71" s="295">
        <f t="shared" si="11"/>
        <v>51869</v>
      </c>
      <c r="F71" s="295"/>
      <c r="G71" s="295"/>
      <c r="H71" s="295">
        <f>7955+15185+7231+21498</f>
        <v>51869</v>
      </c>
      <c r="I71" s="295">
        <f t="shared" si="12"/>
        <v>43589</v>
      </c>
    </row>
    <row r="72" spans="1:9" s="21" customFormat="1" ht="32.25" customHeight="1" hidden="1">
      <c r="A72" s="245" t="s">
        <v>186</v>
      </c>
      <c r="B72" s="246" t="s">
        <v>44</v>
      </c>
      <c r="C72" s="291" t="s">
        <v>187</v>
      </c>
      <c r="D72" s="302"/>
      <c r="E72" s="295">
        <f t="shared" si="11"/>
        <v>0</v>
      </c>
      <c r="F72" s="295"/>
      <c r="G72" s="295"/>
      <c r="H72" s="295"/>
      <c r="I72" s="295">
        <f t="shared" si="12"/>
        <v>0</v>
      </c>
    </row>
    <row r="73" spans="1:9" s="21" customFormat="1" ht="39" customHeight="1" hidden="1">
      <c r="A73" s="245" t="s">
        <v>188</v>
      </c>
      <c r="B73" s="246" t="s">
        <v>44</v>
      </c>
      <c r="C73" s="291" t="s">
        <v>187</v>
      </c>
      <c r="D73" s="302"/>
      <c r="E73" s="295">
        <f t="shared" si="11"/>
        <v>0</v>
      </c>
      <c r="F73" s="295"/>
      <c r="G73" s="295"/>
      <c r="H73" s="295"/>
      <c r="I73" s="295">
        <f t="shared" si="12"/>
        <v>0</v>
      </c>
    </row>
    <row r="74" spans="1:9" s="21" customFormat="1" ht="21.75" customHeight="1" hidden="1">
      <c r="A74" s="245" t="s">
        <v>184</v>
      </c>
      <c r="B74" s="246" t="s">
        <v>44</v>
      </c>
      <c r="C74" s="291" t="s">
        <v>109</v>
      </c>
      <c r="D74" s="295"/>
      <c r="E74" s="295">
        <f t="shared" si="11"/>
        <v>0</v>
      </c>
      <c r="F74" s="295"/>
      <c r="G74" s="295"/>
      <c r="H74" s="295"/>
      <c r="I74" s="295">
        <f t="shared" si="12"/>
        <v>0</v>
      </c>
    </row>
    <row r="75" spans="1:9" s="21" customFormat="1" ht="61.5" customHeight="1" hidden="1">
      <c r="A75" s="326" t="s">
        <v>97</v>
      </c>
      <c r="B75" s="327"/>
      <c r="C75" s="291"/>
      <c r="D75" s="303"/>
      <c r="E75" s="295">
        <f t="shared" si="11"/>
        <v>0</v>
      </c>
      <c r="F75" s="295"/>
      <c r="G75" s="295"/>
      <c r="H75" s="295"/>
      <c r="I75" s="295">
        <f t="shared" si="12"/>
        <v>0</v>
      </c>
    </row>
    <row r="76" spans="1:9" s="21" customFormat="1" ht="27.75" customHeight="1" hidden="1">
      <c r="A76" s="245" t="s">
        <v>185</v>
      </c>
      <c r="B76" s="246" t="s">
        <v>44</v>
      </c>
      <c r="C76" s="291" t="s">
        <v>109</v>
      </c>
      <c r="D76" s="304"/>
      <c r="E76" s="295">
        <f t="shared" si="11"/>
        <v>0</v>
      </c>
      <c r="F76" s="295"/>
      <c r="G76" s="295"/>
      <c r="H76" s="295"/>
      <c r="I76" s="295">
        <f t="shared" si="12"/>
        <v>0</v>
      </c>
    </row>
    <row r="77" spans="1:9" s="21" customFormat="1" ht="59.25" customHeight="1" hidden="1">
      <c r="A77" s="326" t="s">
        <v>99</v>
      </c>
      <c r="B77" s="327"/>
      <c r="C77" s="291"/>
      <c r="D77" s="303"/>
      <c r="E77" s="295">
        <f t="shared" si="11"/>
        <v>0</v>
      </c>
      <c r="F77" s="295"/>
      <c r="G77" s="295"/>
      <c r="H77" s="295"/>
      <c r="I77" s="295">
        <f t="shared" si="12"/>
        <v>0</v>
      </c>
    </row>
    <row r="78" spans="1:9" s="21" customFormat="1" ht="61.5" customHeight="1" hidden="1">
      <c r="A78" s="326" t="s">
        <v>103</v>
      </c>
      <c r="B78" s="327"/>
      <c r="C78" s="291"/>
      <c r="D78" s="303"/>
      <c r="E78" s="295">
        <f t="shared" si="11"/>
        <v>0</v>
      </c>
      <c r="F78" s="295"/>
      <c r="G78" s="295"/>
      <c r="H78" s="295"/>
      <c r="I78" s="295">
        <f t="shared" si="12"/>
        <v>0</v>
      </c>
    </row>
    <row r="79" spans="1:9" s="21" customFormat="1" ht="63" customHeight="1" hidden="1">
      <c r="A79" s="249" t="s">
        <v>98</v>
      </c>
      <c r="B79" s="246"/>
      <c r="C79" s="291"/>
      <c r="D79" s="305"/>
      <c r="E79" s="295">
        <f t="shared" si="11"/>
        <v>0</v>
      </c>
      <c r="F79" s="295"/>
      <c r="G79" s="295"/>
      <c r="H79" s="295"/>
      <c r="I79" s="295">
        <f t="shared" si="12"/>
        <v>0</v>
      </c>
    </row>
    <row r="80" spans="1:9" s="21" customFormat="1" ht="66" customHeight="1" hidden="1">
      <c r="A80" s="326" t="s">
        <v>111</v>
      </c>
      <c r="B80" s="327"/>
      <c r="C80" s="291"/>
      <c r="D80" s="303"/>
      <c r="E80" s="295">
        <f t="shared" si="11"/>
        <v>0</v>
      </c>
      <c r="F80" s="295"/>
      <c r="G80" s="295"/>
      <c r="H80" s="295"/>
      <c r="I80" s="295">
        <f t="shared" si="12"/>
        <v>0</v>
      </c>
    </row>
    <row r="81" spans="1:9" s="21" customFormat="1" ht="71.25" customHeight="1" hidden="1">
      <c r="A81" s="326" t="s">
        <v>113</v>
      </c>
      <c r="B81" s="327"/>
      <c r="C81" s="291"/>
      <c r="D81" s="303"/>
      <c r="E81" s="295">
        <f t="shared" si="11"/>
        <v>0</v>
      </c>
      <c r="F81" s="295"/>
      <c r="G81" s="295"/>
      <c r="H81" s="295"/>
      <c r="I81" s="295">
        <f t="shared" si="12"/>
        <v>0</v>
      </c>
    </row>
    <row r="82" spans="1:9" s="21" customFormat="1" ht="73.5" customHeight="1" hidden="1">
      <c r="A82" s="321" t="s">
        <v>115</v>
      </c>
      <c r="B82" s="322"/>
      <c r="C82" s="291"/>
      <c r="D82" s="303"/>
      <c r="E82" s="295">
        <f t="shared" si="11"/>
        <v>0</v>
      </c>
      <c r="F82" s="295"/>
      <c r="G82" s="295"/>
      <c r="H82" s="295"/>
      <c r="I82" s="295">
        <f t="shared" si="12"/>
        <v>0</v>
      </c>
    </row>
    <row r="83" spans="1:9" s="21" customFormat="1" ht="73.5" customHeight="1" hidden="1">
      <c r="A83" s="245" t="s">
        <v>143</v>
      </c>
      <c r="B83" s="246" t="s">
        <v>44</v>
      </c>
      <c r="C83" s="291" t="s">
        <v>109</v>
      </c>
      <c r="D83" s="295"/>
      <c r="E83" s="295">
        <f t="shared" si="11"/>
        <v>0</v>
      </c>
      <c r="F83" s="295"/>
      <c r="G83" s="295"/>
      <c r="H83" s="295"/>
      <c r="I83" s="295">
        <f t="shared" si="12"/>
        <v>0</v>
      </c>
    </row>
    <row r="84" spans="1:9" s="21" customFormat="1" ht="104.25" customHeight="1" hidden="1">
      <c r="A84" s="245" t="s">
        <v>168</v>
      </c>
      <c r="B84" s="246" t="s">
        <v>44</v>
      </c>
      <c r="C84" s="291" t="s">
        <v>167</v>
      </c>
      <c r="D84" s="295"/>
      <c r="E84" s="295">
        <f t="shared" si="11"/>
        <v>0</v>
      </c>
      <c r="F84" s="295"/>
      <c r="G84" s="295"/>
      <c r="H84" s="295"/>
      <c r="I84" s="295">
        <f t="shared" si="12"/>
        <v>0</v>
      </c>
    </row>
    <row r="85" spans="1:9" s="21" customFormat="1" ht="40.5" customHeight="1">
      <c r="A85" s="245" t="s">
        <v>482</v>
      </c>
      <c r="B85" s="246"/>
      <c r="C85" s="291" t="s">
        <v>484</v>
      </c>
      <c r="D85" s="295">
        <v>0</v>
      </c>
      <c r="E85" s="295">
        <v>0</v>
      </c>
      <c r="F85" s="295"/>
      <c r="G85" s="295"/>
      <c r="H85" s="295">
        <v>0</v>
      </c>
      <c r="I85" s="295">
        <f t="shared" si="12"/>
        <v>0</v>
      </c>
    </row>
    <row r="86" spans="1:9" s="21" customFormat="1" ht="26.25" customHeight="1">
      <c r="A86" s="245" t="s">
        <v>483</v>
      </c>
      <c r="B86" s="246" t="s">
        <v>44</v>
      </c>
      <c r="C86" s="178" t="s">
        <v>328</v>
      </c>
      <c r="D86" s="295">
        <v>114948.96</v>
      </c>
      <c r="E86" s="295">
        <f t="shared" si="11"/>
        <v>51727.04</v>
      </c>
      <c r="F86" s="295"/>
      <c r="G86" s="295"/>
      <c r="H86" s="295">
        <f>22989.8+28737.24</f>
        <v>51727.04</v>
      </c>
      <c r="I86" s="295">
        <f t="shared" si="12"/>
        <v>63221.920000000006</v>
      </c>
    </row>
    <row r="87" spans="1:9" s="21" customFormat="1" ht="24" hidden="1">
      <c r="A87" s="245" t="s">
        <v>174</v>
      </c>
      <c r="B87" s="246" t="s">
        <v>44</v>
      </c>
      <c r="C87" s="291" t="s">
        <v>332</v>
      </c>
      <c r="D87" s="295"/>
      <c r="E87" s="295">
        <f t="shared" si="11"/>
        <v>0</v>
      </c>
      <c r="F87" s="295"/>
      <c r="G87" s="295"/>
      <c r="H87" s="295"/>
      <c r="I87" s="295">
        <f t="shared" si="12"/>
        <v>0</v>
      </c>
    </row>
    <row r="88" spans="1:9" s="21" customFormat="1" ht="39" customHeight="1">
      <c r="A88" s="245" t="s">
        <v>176</v>
      </c>
      <c r="B88" s="246" t="s">
        <v>44</v>
      </c>
      <c r="C88" s="178" t="s">
        <v>329</v>
      </c>
      <c r="D88" s="295">
        <f>1903363+311753.85</f>
        <v>2215116.85</v>
      </c>
      <c r="E88" s="295">
        <f t="shared" si="11"/>
        <v>523395.27999999997</v>
      </c>
      <c r="F88" s="295"/>
      <c r="G88" s="295"/>
      <c r="H88" s="295">
        <f>51964+253622.96+217808.32</f>
        <v>523395.27999999997</v>
      </c>
      <c r="I88" s="295">
        <f t="shared" si="12"/>
        <v>1691721.57</v>
      </c>
    </row>
    <row r="89" spans="1:9" s="21" customFormat="1" ht="17.25" customHeight="1">
      <c r="A89" s="247" t="s">
        <v>92</v>
      </c>
      <c r="B89" s="247"/>
      <c r="C89" s="67">
        <v>866202</v>
      </c>
      <c r="D89" s="296">
        <f aca="true" t="shared" si="13" ref="D89:I89">D88+D86+D71+D69+D85</f>
        <v>3030506.81</v>
      </c>
      <c r="E89" s="296">
        <f t="shared" si="13"/>
        <v>828651.32</v>
      </c>
      <c r="F89" s="296">
        <f t="shared" si="13"/>
        <v>0</v>
      </c>
      <c r="G89" s="296">
        <f t="shared" si="13"/>
        <v>0</v>
      </c>
      <c r="H89" s="296">
        <f t="shared" si="13"/>
        <v>828651.32</v>
      </c>
      <c r="I89" s="296">
        <f t="shared" si="13"/>
        <v>2201855.49</v>
      </c>
    </row>
    <row r="90" spans="1:9" s="21" customFormat="1" ht="48" hidden="1">
      <c r="A90" s="32" t="s">
        <v>48</v>
      </c>
      <c r="B90" s="33" t="s">
        <v>44</v>
      </c>
      <c r="C90" s="34" t="s">
        <v>110</v>
      </c>
      <c r="D90" s="48">
        <v>0</v>
      </c>
      <c r="E90" s="48">
        <v>0</v>
      </c>
      <c r="F90" s="48">
        <v>0</v>
      </c>
      <c r="G90" s="48">
        <v>0</v>
      </c>
      <c r="H90" s="48">
        <f>SUM(E90:G90)</f>
        <v>0</v>
      </c>
      <c r="I90" s="47">
        <f>D90-E90</f>
        <v>0</v>
      </c>
    </row>
    <row r="91" spans="1:9" s="21" customFormat="1" ht="15" customHeight="1" hidden="1">
      <c r="A91" s="66" t="s">
        <v>92</v>
      </c>
      <c r="B91" s="63"/>
      <c r="C91" s="67">
        <v>866208</v>
      </c>
      <c r="D91" s="65">
        <f aca="true" t="shared" si="14" ref="D91:I91">SUM(D90:D90)</f>
        <v>0</v>
      </c>
      <c r="E91" s="65">
        <f t="shared" si="14"/>
        <v>0</v>
      </c>
      <c r="F91" s="65">
        <f t="shared" si="14"/>
        <v>0</v>
      </c>
      <c r="G91" s="65">
        <f t="shared" si="14"/>
        <v>0</v>
      </c>
      <c r="H91" s="65">
        <f t="shared" si="14"/>
        <v>0</v>
      </c>
      <c r="I91" s="65">
        <f t="shared" si="14"/>
        <v>0</v>
      </c>
    </row>
    <row r="92" spans="3:9" s="20" customFormat="1" ht="9" customHeight="1">
      <c r="C92" s="29"/>
      <c r="D92" s="29"/>
      <c r="E92" s="29"/>
      <c r="F92" s="29"/>
      <c r="G92" s="29"/>
      <c r="H92" s="30"/>
      <c r="I92" s="29"/>
    </row>
    <row r="96" ht="12.75">
      <c r="H96" s="315"/>
    </row>
  </sheetData>
  <sheetProtection/>
  <mergeCells count="17">
    <mergeCell ref="I13:I14"/>
    <mergeCell ref="A2:G2"/>
    <mergeCell ref="A6:G6"/>
    <mergeCell ref="A11:G11"/>
    <mergeCell ref="A13:A14"/>
    <mergeCell ref="B13:B14"/>
    <mergeCell ref="C13:C14"/>
    <mergeCell ref="D13:D14"/>
    <mergeCell ref="A7:G7"/>
    <mergeCell ref="A3:G3"/>
    <mergeCell ref="A82:B82"/>
    <mergeCell ref="E13:H13"/>
    <mergeCell ref="A75:B75"/>
    <mergeCell ref="A77:B77"/>
    <mergeCell ref="A78:B78"/>
    <mergeCell ref="A80:B80"/>
    <mergeCell ref="A81:B81"/>
  </mergeCells>
  <printOptions horizontalCentered="1"/>
  <pageMargins left="0.1968503937007874" right="0.1968503937007874" top="0.35433070866141736" bottom="0.1968503937007874" header="0.31496062992125984" footer="0.11811023622047245"/>
  <pageSetup fitToHeight="1" fitToWidth="1" horizontalDpi="600" verticalDpi="600" orientation="landscape" paperSize="9" scale="66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1"/>
  <sheetViews>
    <sheetView showGridLines="0" zoomScale="85" zoomScaleNormal="85" zoomScalePageLayoutView="0" workbookViewId="0" topLeftCell="A1">
      <pane xSplit="2" ySplit="7" topLeftCell="C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31" sqref="C131"/>
    </sheetView>
  </sheetViews>
  <sheetFormatPr defaultColWidth="9.00390625" defaultRowHeight="12.75"/>
  <cols>
    <col min="1" max="1" width="60.125" style="24" customWidth="1"/>
    <col min="2" max="2" width="7.75390625" style="24" customWidth="1"/>
    <col min="3" max="3" width="38.375" style="24" customWidth="1"/>
    <col min="4" max="4" width="25.625" style="24" customWidth="1"/>
    <col min="5" max="5" width="16.125" style="24" customWidth="1"/>
    <col min="6" max="6" width="16.25390625" style="24" customWidth="1"/>
    <col min="7" max="7" width="14.75390625" style="24" hidden="1" customWidth="1"/>
    <col min="8" max="8" width="14.75390625" style="23" hidden="1" customWidth="1"/>
    <col min="9" max="9" width="15.25390625" style="24" hidden="1" customWidth="1"/>
    <col min="10" max="10" width="6.375" style="24" hidden="1" customWidth="1"/>
    <col min="11" max="11" width="25.625" style="24" customWidth="1"/>
    <col min="12" max="12" width="13.75390625" style="24" hidden="1" customWidth="1"/>
    <col min="13" max="13" width="12.25390625" style="24" hidden="1" customWidth="1"/>
    <col min="14" max="14" width="10.25390625" style="24" bestFit="1" customWidth="1"/>
    <col min="15" max="15" width="13.375" style="24" bestFit="1" customWidth="1"/>
    <col min="16" max="16384" width="9.125" style="24" customWidth="1"/>
  </cols>
  <sheetData>
    <row r="1" spans="1:11" s="14" customFormat="1" ht="15.75">
      <c r="A1" s="343" t="s">
        <v>22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s="14" customFormat="1" ht="15.75">
      <c r="A2" s="49"/>
      <c r="B2" s="49"/>
      <c r="C2" s="49"/>
      <c r="D2" s="342" t="str">
        <f>'1. Доходы бюджета (1.12)'!C4</f>
        <v>на 01.05.2023 года</v>
      </c>
      <c r="E2" s="342"/>
      <c r="F2" s="49"/>
      <c r="G2" s="49"/>
      <c r="H2" s="49"/>
      <c r="I2" s="49"/>
      <c r="J2" s="49"/>
      <c r="K2" s="49"/>
    </row>
    <row r="3" spans="1:10" s="14" customFormat="1" ht="9" customHeight="1">
      <c r="A3" s="27"/>
      <c r="B3" s="27"/>
      <c r="C3" s="28"/>
      <c r="D3" s="5"/>
      <c r="E3" s="5"/>
      <c r="F3" s="5"/>
      <c r="G3" s="16"/>
      <c r="H3" s="17"/>
      <c r="I3" s="18"/>
      <c r="J3" s="18"/>
    </row>
    <row r="4" spans="1:11" s="14" customFormat="1" ht="27" customHeight="1">
      <c r="A4" s="344" t="s">
        <v>4</v>
      </c>
      <c r="B4" s="338" t="s">
        <v>5</v>
      </c>
      <c r="C4" s="338" t="s">
        <v>24</v>
      </c>
      <c r="D4" s="338" t="s">
        <v>27</v>
      </c>
      <c r="E4" s="338" t="s">
        <v>26</v>
      </c>
      <c r="F4" s="338" t="s">
        <v>15</v>
      </c>
      <c r="G4" s="338"/>
      <c r="H4" s="338"/>
      <c r="I4" s="338"/>
      <c r="J4" s="338" t="s">
        <v>20</v>
      </c>
      <c r="K4" s="338" t="s">
        <v>20</v>
      </c>
    </row>
    <row r="5" spans="1:11" s="14" customFormat="1" ht="45" customHeight="1">
      <c r="A5" s="345"/>
      <c r="B5" s="339"/>
      <c r="C5" s="339"/>
      <c r="D5" s="339"/>
      <c r="E5" s="339"/>
      <c r="F5" s="339" t="s">
        <v>16</v>
      </c>
      <c r="G5" s="339" t="s">
        <v>17</v>
      </c>
      <c r="H5" s="339" t="s">
        <v>18</v>
      </c>
      <c r="I5" s="339" t="s">
        <v>19</v>
      </c>
      <c r="J5" s="339" t="s">
        <v>25</v>
      </c>
      <c r="K5" s="339" t="s">
        <v>25</v>
      </c>
    </row>
    <row r="6" spans="1:11" s="19" customFormat="1" ht="1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  <c r="I6" s="26">
        <v>9</v>
      </c>
      <c r="J6" s="26">
        <v>10</v>
      </c>
      <c r="K6" s="26">
        <v>11</v>
      </c>
    </row>
    <row r="7" spans="1:13" s="59" customFormat="1" ht="33" customHeight="1">
      <c r="A7" s="72" t="s">
        <v>49</v>
      </c>
      <c r="B7" s="70" t="s">
        <v>50</v>
      </c>
      <c r="C7" s="70" t="s">
        <v>145</v>
      </c>
      <c r="D7" s="92">
        <f aca="true" t="shared" si="0" ref="D7:I7">D66+D76+D82+D94+D119+D130+D134+D138</f>
        <v>4483881.130000001</v>
      </c>
      <c r="E7" s="92">
        <f t="shared" si="0"/>
        <v>4483656.130000001</v>
      </c>
      <c r="F7" s="306">
        <f t="shared" si="0"/>
        <v>1117882.58</v>
      </c>
      <c r="G7" s="92" t="e">
        <f t="shared" si="0"/>
        <v>#REF!</v>
      </c>
      <c r="H7" s="92" t="e">
        <f t="shared" si="0"/>
        <v>#REF!</v>
      </c>
      <c r="I7" s="92" t="e">
        <f t="shared" si="0"/>
        <v>#REF!</v>
      </c>
      <c r="J7" s="92">
        <f>D7-F7</f>
        <v>3365998.5500000007</v>
      </c>
      <c r="K7" s="92">
        <f>E7-F7</f>
        <v>3365773.5500000007</v>
      </c>
      <c r="L7" s="81">
        <f>D7-F7</f>
        <v>3365998.5500000007</v>
      </c>
      <c r="M7" s="89">
        <f>K7-L7</f>
        <v>-225</v>
      </c>
    </row>
    <row r="8" spans="1:11" s="21" customFormat="1" ht="36.75" customHeight="1">
      <c r="A8" s="265" t="s">
        <v>367</v>
      </c>
      <c r="B8" s="77"/>
      <c r="C8" s="80" t="s">
        <v>414</v>
      </c>
      <c r="D8" s="65">
        <f>D9+D10+D11</f>
        <v>529885</v>
      </c>
      <c r="E8" s="65">
        <f>E9+E10+E11</f>
        <v>529885</v>
      </c>
      <c r="F8" s="307">
        <f>F9+F10+F11</f>
        <v>125624.21999999999</v>
      </c>
      <c r="G8" s="65">
        <f>G9+G11</f>
        <v>0</v>
      </c>
      <c r="H8" s="65">
        <f>H9+H11</f>
        <v>0</v>
      </c>
      <c r="I8" s="65">
        <f>I9+I10+I11</f>
        <v>125624.21999999999</v>
      </c>
      <c r="J8" s="65">
        <f>J9+J11</f>
        <v>404198.54000000004</v>
      </c>
      <c r="K8" s="65">
        <f>K9+K11</f>
        <v>404198.54000000004</v>
      </c>
    </row>
    <row r="9" spans="1:11" s="21" customFormat="1" ht="20.25" customHeight="1">
      <c r="A9" s="60" t="s">
        <v>406</v>
      </c>
      <c r="B9" s="77"/>
      <c r="C9" s="268" t="s">
        <v>411</v>
      </c>
      <c r="D9" s="90">
        <f>200000-3502+206978</f>
        <v>403476</v>
      </c>
      <c r="E9" s="90">
        <f>D9</f>
        <v>403476</v>
      </c>
      <c r="F9" s="308">
        <f>13560+16169.75+12000+1560+4135+6279.96+12000+884+15308.75+12000+1560+2575</f>
        <v>98032.45999999999</v>
      </c>
      <c r="G9" s="90"/>
      <c r="H9" s="90"/>
      <c r="I9" s="65">
        <f>F9</f>
        <v>98032.45999999999</v>
      </c>
      <c r="J9" s="90">
        <f>D9-F9</f>
        <v>305443.54000000004</v>
      </c>
      <c r="K9" s="90">
        <f>E9-F9</f>
        <v>305443.54000000004</v>
      </c>
    </row>
    <row r="10" spans="1:15" s="21" customFormat="1" ht="30.75" customHeight="1">
      <c r="A10" s="198" t="s">
        <v>345</v>
      </c>
      <c r="B10" s="77"/>
      <c r="C10" s="268" t="s">
        <v>412</v>
      </c>
      <c r="D10" s="90">
        <f>3502</f>
        <v>3502</v>
      </c>
      <c r="E10" s="90">
        <f>D10</f>
        <v>3502</v>
      </c>
      <c r="F10" s="309">
        <f>3439.76</f>
        <v>3439.76</v>
      </c>
      <c r="G10" s="90"/>
      <c r="H10" s="90"/>
      <c r="I10" s="65">
        <f>F10</f>
        <v>3439.76</v>
      </c>
      <c r="J10" s="90">
        <f>D10-F10</f>
        <v>62.23999999999978</v>
      </c>
      <c r="K10" s="90">
        <f>E10-F10</f>
        <v>62.23999999999978</v>
      </c>
      <c r="O10" s="243"/>
    </row>
    <row r="11" spans="1:15" s="21" customFormat="1" ht="19.5" customHeight="1">
      <c r="A11" s="60" t="s">
        <v>52</v>
      </c>
      <c r="B11" s="77"/>
      <c r="C11" s="268" t="s">
        <v>413</v>
      </c>
      <c r="D11" s="90">
        <f>99100+23807</f>
        <v>122907</v>
      </c>
      <c r="E11" s="90">
        <f>D11</f>
        <v>122907</v>
      </c>
      <c r="F11" s="308">
        <f>9691.43+64.61+4609.19+30.73+64.61+9691.43</f>
        <v>24152</v>
      </c>
      <c r="G11" s="90"/>
      <c r="H11" s="90"/>
      <c r="I11" s="65">
        <f>F11</f>
        <v>24152</v>
      </c>
      <c r="J11" s="90">
        <f>D11-F11</f>
        <v>98755</v>
      </c>
      <c r="K11" s="90">
        <f>E11-F11</f>
        <v>98755</v>
      </c>
      <c r="O11" s="243"/>
    </row>
    <row r="12" spans="1:11" s="59" customFormat="1" ht="35.25" customHeight="1">
      <c r="A12" s="267" t="s">
        <v>159</v>
      </c>
      <c r="B12" s="252"/>
      <c r="C12" s="253" t="s">
        <v>415</v>
      </c>
      <c r="D12" s="254">
        <f>D13+D14+D16+D27+D20</f>
        <v>1155270</v>
      </c>
      <c r="E12" s="254">
        <f>E13+E14+E16+E27+E20</f>
        <v>1155270</v>
      </c>
      <c r="F12" s="310">
        <f>F13+F14+F16+F27+F20</f>
        <v>327471.75</v>
      </c>
      <c r="G12" s="254">
        <f>G13+G14+G16+G27</f>
        <v>0</v>
      </c>
      <c r="H12" s="254">
        <f>H13+H14+H16+H27</f>
        <v>0</v>
      </c>
      <c r="I12" s="254">
        <f>I13+I14+I16+I27</f>
        <v>274613</v>
      </c>
      <c r="J12" s="254">
        <f>J13+J14+J16+J27</f>
        <v>766522</v>
      </c>
      <c r="K12" s="254">
        <f>K13+K14+K16+K27</f>
        <v>770522</v>
      </c>
    </row>
    <row r="13" spans="1:11" s="21" customFormat="1" ht="16.5" customHeight="1">
      <c r="A13" s="60" t="s">
        <v>51</v>
      </c>
      <c r="B13" s="61" t="s">
        <v>50</v>
      </c>
      <c r="C13" s="268" t="s">
        <v>416</v>
      </c>
      <c r="D13" s="90">
        <f>332000+82385</f>
        <v>414385</v>
      </c>
      <c r="E13" s="90">
        <f>D13</f>
        <v>414385</v>
      </c>
      <c r="F13" s="308">
        <f>11300+2032.89+2032.89+5065.36+9570.7+3000+4328+5000+1603+3871+3255.39+3255.39+5065.36+14924.7+3000+3500+5000+3644+2032.88+2032.87+3566.36+9394.7+4000+5000+3500+1625+1370</f>
        <v>121970.48999999999</v>
      </c>
      <c r="G13" s="62">
        <v>0</v>
      </c>
      <c r="H13" s="62">
        <v>0</v>
      </c>
      <c r="I13" s="62">
        <f aca="true" t="shared" si="1" ref="I13:I26">SUM(F13:H13)</f>
        <v>121970.48999999999</v>
      </c>
      <c r="J13" s="62">
        <f>D13-F13</f>
        <v>292414.51</v>
      </c>
      <c r="K13" s="62">
        <f>E13-F13</f>
        <v>292414.51</v>
      </c>
    </row>
    <row r="14" spans="1:16" s="21" customFormat="1" ht="35.25" customHeight="1">
      <c r="A14" s="198" t="s">
        <v>345</v>
      </c>
      <c r="B14" s="61" t="s">
        <v>50</v>
      </c>
      <c r="C14" s="268" t="s">
        <v>417</v>
      </c>
      <c r="D14" s="90">
        <v>0</v>
      </c>
      <c r="E14" s="90">
        <f aca="true" t="shared" si="2" ref="E14:E25">D14</f>
        <v>0</v>
      </c>
      <c r="F14" s="308">
        <v>0</v>
      </c>
      <c r="G14" s="62">
        <v>0</v>
      </c>
      <c r="H14" s="62">
        <v>0</v>
      </c>
      <c r="I14" s="62">
        <f t="shared" si="1"/>
        <v>0</v>
      </c>
      <c r="J14" s="62">
        <f>D14-F14</f>
        <v>0</v>
      </c>
      <c r="K14" s="62">
        <f>E14-F14</f>
        <v>0</v>
      </c>
      <c r="P14" s="243"/>
    </row>
    <row r="15" spans="1:11" s="21" customFormat="1" ht="17.25" customHeight="1">
      <c r="A15" s="198"/>
      <c r="B15" s="61"/>
      <c r="C15" s="268" t="s">
        <v>363</v>
      </c>
      <c r="D15" s="90">
        <f aca="true" t="shared" si="3" ref="D15:K15">D13+D14</f>
        <v>414385</v>
      </c>
      <c r="E15" s="90">
        <f t="shared" si="3"/>
        <v>414385</v>
      </c>
      <c r="F15" s="308">
        <f t="shared" si="3"/>
        <v>121970.48999999999</v>
      </c>
      <c r="G15" s="62">
        <f t="shared" si="3"/>
        <v>0</v>
      </c>
      <c r="H15" s="62">
        <f t="shared" si="3"/>
        <v>0</v>
      </c>
      <c r="I15" s="62">
        <f t="shared" si="3"/>
        <v>121970.48999999999</v>
      </c>
      <c r="J15" s="62">
        <f t="shared" si="3"/>
        <v>292414.51</v>
      </c>
      <c r="K15" s="62">
        <f t="shared" si="3"/>
        <v>292414.51</v>
      </c>
    </row>
    <row r="16" spans="1:11" s="21" customFormat="1" ht="22.5" customHeight="1">
      <c r="A16" s="60" t="s">
        <v>52</v>
      </c>
      <c r="B16" s="61" t="s">
        <v>50</v>
      </c>
      <c r="C16" s="268" t="s">
        <v>418</v>
      </c>
      <c r="D16" s="90">
        <f>115000+10145</f>
        <v>125145</v>
      </c>
      <c r="E16" s="90">
        <f>D16</f>
        <v>125145</v>
      </c>
      <c r="F16" s="308">
        <f>9771.86+65.15+10476.16+69.84+65.15+9771.84</f>
        <v>30220</v>
      </c>
      <c r="G16" s="62">
        <v>0</v>
      </c>
      <c r="H16" s="62">
        <v>0</v>
      </c>
      <c r="I16" s="62">
        <f t="shared" si="1"/>
        <v>30220</v>
      </c>
      <c r="J16" s="62">
        <f aca="true" t="shared" si="4" ref="J16:J26">D16-F16</f>
        <v>94925</v>
      </c>
      <c r="K16" s="62">
        <f aca="true" t="shared" si="5" ref="K16:K26">E16-F16</f>
        <v>94925</v>
      </c>
    </row>
    <row r="17" spans="1:11" s="21" customFormat="1" ht="16.5" customHeight="1">
      <c r="A17" s="266"/>
      <c r="B17" s="227"/>
      <c r="C17" s="259" t="s">
        <v>373</v>
      </c>
      <c r="D17" s="208">
        <f>D15+D16</f>
        <v>539530</v>
      </c>
      <c r="E17" s="208">
        <f>E15+E16</f>
        <v>539530</v>
      </c>
      <c r="F17" s="307">
        <f>F15+F16</f>
        <v>152190.49</v>
      </c>
      <c r="G17" s="208">
        <f>H15+H16</f>
        <v>0</v>
      </c>
      <c r="H17" s="208">
        <v>0</v>
      </c>
      <c r="I17" s="208">
        <f>I15+I16</f>
        <v>152190.49</v>
      </c>
      <c r="J17" s="208">
        <f>J15+J16</f>
        <v>387339.51</v>
      </c>
      <c r="K17" s="208">
        <f>K15+K16</f>
        <v>387339.51</v>
      </c>
    </row>
    <row r="18" spans="1:11" s="21" customFormat="1" ht="15" customHeight="1">
      <c r="A18" s="60" t="s">
        <v>391</v>
      </c>
      <c r="B18" s="61" t="s">
        <v>50</v>
      </c>
      <c r="C18" s="268" t="s">
        <v>419</v>
      </c>
      <c r="D18" s="90">
        <f>30000-5000</f>
        <v>25000</v>
      </c>
      <c r="E18" s="90">
        <f t="shared" si="2"/>
        <v>25000</v>
      </c>
      <c r="F18" s="308">
        <f>2218.08+1650+804.33+1650+810.71+1650+763.04</f>
        <v>9546.16</v>
      </c>
      <c r="G18" s="62">
        <v>0</v>
      </c>
      <c r="H18" s="62">
        <v>0</v>
      </c>
      <c r="I18" s="62">
        <f t="shared" si="1"/>
        <v>9546.16</v>
      </c>
      <c r="J18" s="62">
        <f t="shared" si="4"/>
        <v>15453.84</v>
      </c>
      <c r="K18" s="62">
        <f>E18-F18</f>
        <v>15453.84</v>
      </c>
    </row>
    <row r="19" spans="1:11" s="21" customFormat="1" ht="17.25" customHeight="1">
      <c r="A19" s="60" t="s">
        <v>53</v>
      </c>
      <c r="B19" s="61" t="s">
        <v>50</v>
      </c>
      <c r="C19" s="268" t="s">
        <v>420</v>
      </c>
      <c r="D19" s="90">
        <v>2000</v>
      </c>
      <c r="E19" s="90">
        <f t="shared" si="2"/>
        <v>2000</v>
      </c>
      <c r="F19" s="308">
        <f>159.78+172.59+172.59+172.59</f>
        <v>677.5500000000001</v>
      </c>
      <c r="G19" s="62">
        <v>0</v>
      </c>
      <c r="H19" s="62">
        <v>0</v>
      </c>
      <c r="I19" s="62">
        <f t="shared" si="1"/>
        <v>677.5500000000001</v>
      </c>
      <c r="J19" s="62">
        <f t="shared" si="4"/>
        <v>1322.4499999999998</v>
      </c>
      <c r="K19" s="62">
        <f t="shared" si="5"/>
        <v>1322.4499999999998</v>
      </c>
    </row>
    <row r="20" spans="1:14" s="21" customFormat="1" ht="17.25" customHeight="1">
      <c r="A20" s="237" t="s">
        <v>53</v>
      </c>
      <c r="B20" s="238"/>
      <c r="C20" s="269" t="s">
        <v>421</v>
      </c>
      <c r="D20" s="273">
        <v>78135</v>
      </c>
      <c r="E20" s="273">
        <f>D20</f>
        <v>78135</v>
      </c>
      <c r="F20" s="239">
        <f>11876.67+7525.77+1456.31</f>
        <v>20858.750000000004</v>
      </c>
      <c r="G20" s="239"/>
      <c r="H20" s="239"/>
      <c r="I20" s="239"/>
      <c r="J20" s="239"/>
      <c r="K20" s="239">
        <f>D20-F20</f>
        <v>57276.25</v>
      </c>
      <c r="N20" s="243"/>
    </row>
    <row r="21" spans="1:15" s="21" customFormat="1" ht="16.5" customHeight="1">
      <c r="A21" s="60" t="s">
        <v>54</v>
      </c>
      <c r="B21" s="61" t="s">
        <v>50</v>
      </c>
      <c r="C21" s="268" t="s">
        <v>422</v>
      </c>
      <c r="D21" s="90">
        <f>50000+28000</f>
        <v>78000</v>
      </c>
      <c r="E21" s="90">
        <f t="shared" si="2"/>
        <v>78000</v>
      </c>
      <c r="F21" s="308">
        <f>2610+390+913+900+6+1817.4+2610+478+390+906+2610+390+906+680</f>
        <v>15606.4</v>
      </c>
      <c r="G21" s="62">
        <v>0</v>
      </c>
      <c r="H21" s="62">
        <v>0</v>
      </c>
      <c r="I21" s="62">
        <f t="shared" si="1"/>
        <v>15606.4</v>
      </c>
      <c r="J21" s="62">
        <f t="shared" si="4"/>
        <v>62393.6</v>
      </c>
      <c r="K21" s="62">
        <f t="shared" si="5"/>
        <v>62393.6</v>
      </c>
      <c r="O21" s="243"/>
    </row>
    <row r="22" spans="1:11" s="21" customFormat="1" ht="16.5" customHeight="1">
      <c r="A22" s="60" t="s">
        <v>55</v>
      </c>
      <c r="B22" s="61" t="s">
        <v>50</v>
      </c>
      <c r="C22" s="268" t="s">
        <v>423</v>
      </c>
      <c r="D22" s="90">
        <f>100000-21135+219940-4000</f>
        <v>294805</v>
      </c>
      <c r="E22" s="90">
        <f t="shared" si="2"/>
        <v>294805</v>
      </c>
      <c r="F22" s="308">
        <f>16878+2522+5820+38.8+16878+2522+5820+38.8+16878+2522+5820+38.8</f>
        <v>75776.40000000001</v>
      </c>
      <c r="G22" s="62">
        <v>0</v>
      </c>
      <c r="H22" s="62">
        <v>0</v>
      </c>
      <c r="I22" s="62">
        <f t="shared" si="1"/>
        <v>75776.40000000001</v>
      </c>
      <c r="J22" s="62">
        <f t="shared" si="4"/>
        <v>219028.59999999998</v>
      </c>
      <c r="K22" s="62">
        <f t="shared" si="5"/>
        <v>219028.59999999998</v>
      </c>
    </row>
    <row r="23" spans="1:11" s="21" customFormat="1" ht="16.5" customHeight="1">
      <c r="A23" s="60" t="s">
        <v>374</v>
      </c>
      <c r="B23" s="61" t="s">
        <v>50</v>
      </c>
      <c r="C23" s="268" t="s">
        <v>424</v>
      </c>
      <c r="D23" s="90">
        <v>4000</v>
      </c>
      <c r="E23" s="90">
        <f t="shared" si="2"/>
        <v>4000</v>
      </c>
      <c r="F23" s="308">
        <v>0</v>
      </c>
      <c r="G23" s="62">
        <v>0</v>
      </c>
      <c r="H23" s="62">
        <v>0</v>
      </c>
      <c r="I23" s="62">
        <f t="shared" si="1"/>
        <v>0</v>
      </c>
      <c r="J23" s="62">
        <f t="shared" si="4"/>
        <v>4000</v>
      </c>
      <c r="K23" s="62">
        <f t="shared" si="5"/>
        <v>4000</v>
      </c>
    </row>
    <row r="24" spans="1:11" s="21" customFormat="1" ht="25.5" customHeight="1">
      <c r="A24" s="60" t="s">
        <v>116</v>
      </c>
      <c r="B24" s="61" t="s">
        <v>50</v>
      </c>
      <c r="C24" s="268" t="s">
        <v>425</v>
      </c>
      <c r="D24" s="90">
        <f>28000+4000</f>
        <v>32000</v>
      </c>
      <c r="E24" s="90">
        <f t="shared" si="2"/>
        <v>32000</v>
      </c>
      <c r="F24" s="308">
        <v>32000</v>
      </c>
      <c r="G24" s="62">
        <v>0</v>
      </c>
      <c r="H24" s="62">
        <v>0</v>
      </c>
      <c r="I24" s="62">
        <f t="shared" si="1"/>
        <v>32000</v>
      </c>
      <c r="J24" s="62">
        <f t="shared" si="4"/>
        <v>0</v>
      </c>
      <c r="K24" s="62">
        <f t="shared" si="5"/>
        <v>0</v>
      </c>
    </row>
    <row r="25" spans="1:11" s="21" customFormat="1" ht="30.75" customHeight="1">
      <c r="A25" s="60" t="s">
        <v>330</v>
      </c>
      <c r="B25" s="61" t="s">
        <v>50</v>
      </c>
      <c r="C25" s="268" t="s">
        <v>426</v>
      </c>
      <c r="D25" s="90">
        <f>86900-2900</f>
        <v>84000</v>
      </c>
      <c r="E25" s="90">
        <f t="shared" si="2"/>
        <v>84000</v>
      </c>
      <c r="F25" s="308">
        <f>7552+5664+7600</f>
        <v>20816</v>
      </c>
      <c r="G25" s="62">
        <v>0</v>
      </c>
      <c r="H25" s="62">
        <v>0</v>
      </c>
      <c r="I25" s="62">
        <f t="shared" si="1"/>
        <v>20816</v>
      </c>
      <c r="J25" s="62">
        <f t="shared" si="4"/>
        <v>63184</v>
      </c>
      <c r="K25" s="62">
        <f t="shared" si="5"/>
        <v>63184</v>
      </c>
    </row>
    <row r="26" spans="1:14" s="21" customFormat="1" ht="30" customHeight="1">
      <c r="A26" s="60" t="s">
        <v>331</v>
      </c>
      <c r="B26" s="61" t="s">
        <v>50</v>
      </c>
      <c r="C26" s="268" t="s">
        <v>427</v>
      </c>
      <c r="D26" s="90">
        <f>17800</f>
        <v>17800</v>
      </c>
      <c r="E26" s="90">
        <f>D26</f>
        <v>17800</v>
      </c>
      <c r="F26" s="308">
        <v>0</v>
      </c>
      <c r="G26" s="62">
        <v>0</v>
      </c>
      <c r="H26" s="62">
        <v>0</v>
      </c>
      <c r="I26" s="62">
        <f t="shared" si="1"/>
        <v>0</v>
      </c>
      <c r="J26" s="62">
        <f t="shared" si="4"/>
        <v>17800</v>
      </c>
      <c r="K26" s="62">
        <f t="shared" si="5"/>
        <v>17800</v>
      </c>
      <c r="N26" s="243"/>
    </row>
    <row r="27" spans="1:15" s="59" customFormat="1" ht="24.75" customHeight="1">
      <c r="A27" s="260" t="s">
        <v>214</v>
      </c>
      <c r="B27" s="70"/>
      <c r="C27" s="85" t="s">
        <v>428</v>
      </c>
      <c r="D27" s="99">
        <f>D18+D21+D22+D25+D26+D19+D23+D24</f>
        <v>537605</v>
      </c>
      <c r="E27" s="99">
        <f>E18+E21+E22+E25+E26+E19+E23+E24</f>
        <v>537605</v>
      </c>
      <c r="F27" s="311">
        <f>F18+F21+F22+F25+F26+F19+F24+F23</f>
        <v>154422.51</v>
      </c>
      <c r="G27" s="99">
        <f>G18+G21+G22+G25+G26+G20+G19</f>
        <v>0</v>
      </c>
      <c r="H27" s="99">
        <f>H18+H21+H22+H25+H26+H20+H19</f>
        <v>0</v>
      </c>
      <c r="I27" s="99">
        <f>I18+I21+I22+I25+I26+I20+I19</f>
        <v>122422.51000000001</v>
      </c>
      <c r="J27" s="99">
        <f>J18+J21+J22+J25+J26+J20+J19</f>
        <v>379182.49</v>
      </c>
      <c r="K27" s="99">
        <f>D27-F27</f>
        <v>383182.49</v>
      </c>
      <c r="O27" s="242"/>
    </row>
    <row r="28" spans="1:11" s="59" customFormat="1" ht="21.75" customHeight="1">
      <c r="A28" s="267" t="s">
        <v>166</v>
      </c>
      <c r="B28" s="252"/>
      <c r="C28" s="253" t="s">
        <v>429</v>
      </c>
      <c r="D28" s="254">
        <f>D29+D30+D31</f>
        <v>20840</v>
      </c>
      <c r="E28" s="254">
        <f aca="true" t="shared" si="6" ref="E28:K28">E29+E30+E31</f>
        <v>20840</v>
      </c>
      <c r="F28" s="310">
        <f t="shared" si="6"/>
        <v>5210</v>
      </c>
      <c r="G28" s="254">
        <f t="shared" si="6"/>
        <v>0</v>
      </c>
      <c r="H28" s="254">
        <f t="shared" si="6"/>
        <v>0</v>
      </c>
      <c r="I28" s="254">
        <f t="shared" si="6"/>
        <v>5210</v>
      </c>
      <c r="J28" s="254">
        <f t="shared" si="6"/>
        <v>15630</v>
      </c>
      <c r="K28" s="254">
        <f t="shared" si="6"/>
        <v>15630</v>
      </c>
    </row>
    <row r="29" spans="1:11" s="21" customFormat="1" ht="17.25" customHeight="1">
      <c r="A29" s="82" t="s">
        <v>309</v>
      </c>
      <c r="B29" s="61" t="s">
        <v>50</v>
      </c>
      <c r="C29" s="268" t="s">
        <v>430</v>
      </c>
      <c r="D29" s="90">
        <v>20000</v>
      </c>
      <c r="E29" s="90">
        <f>D29</f>
        <v>20000</v>
      </c>
      <c r="F29" s="308">
        <f>5000</f>
        <v>5000</v>
      </c>
      <c r="G29" s="62">
        <v>0</v>
      </c>
      <c r="H29" s="62">
        <v>0</v>
      </c>
      <c r="I29" s="62">
        <f aca="true" t="shared" si="7" ref="I29:I37">SUM(F29:H29)</f>
        <v>5000</v>
      </c>
      <c r="J29" s="62">
        <f>D29-F29</f>
        <v>15000</v>
      </c>
      <c r="K29" s="62">
        <f>E29-F29</f>
        <v>15000</v>
      </c>
    </row>
    <row r="30" spans="1:11" s="21" customFormat="1" ht="22.5" customHeight="1">
      <c r="A30" s="82" t="s">
        <v>104</v>
      </c>
      <c r="B30" s="61" t="s">
        <v>50</v>
      </c>
      <c r="C30" s="268" t="s">
        <v>431</v>
      </c>
      <c r="D30" s="90">
        <v>840</v>
      </c>
      <c r="E30" s="90">
        <f>D30</f>
        <v>840</v>
      </c>
      <c r="F30" s="308">
        <f>210</f>
        <v>210</v>
      </c>
      <c r="G30" s="62">
        <v>0</v>
      </c>
      <c r="H30" s="62">
        <v>0</v>
      </c>
      <c r="I30" s="62">
        <f t="shared" si="7"/>
        <v>210</v>
      </c>
      <c r="J30" s="62">
        <f>D30-F30</f>
        <v>630</v>
      </c>
      <c r="K30" s="62">
        <f>E30-F30</f>
        <v>630</v>
      </c>
    </row>
    <row r="31" spans="1:11" s="21" customFormat="1" ht="22.5" customHeight="1" hidden="1">
      <c r="A31" s="82" t="s">
        <v>104</v>
      </c>
      <c r="B31" s="61" t="s">
        <v>50</v>
      </c>
      <c r="C31" s="268" t="s">
        <v>322</v>
      </c>
      <c r="D31" s="90">
        <v>0</v>
      </c>
      <c r="E31" s="90">
        <v>0</v>
      </c>
      <c r="F31" s="308">
        <v>0</v>
      </c>
      <c r="G31" s="62">
        <v>0</v>
      </c>
      <c r="H31" s="62">
        <v>0</v>
      </c>
      <c r="I31" s="62">
        <f t="shared" si="7"/>
        <v>0</v>
      </c>
      <c r="J31" s="62">
        <f>D31-F31</f>
        <v>0</v>
      </c>
      <c r="K31" s="62">
        <f>E31-F31</f>
        <v>0</v>
      </c>
    </row>
    <row r="32" spans="1:11" s="21" customFormat="1" ht="22.5" customHeight="1">
      <c r="A32" s="261" t="s">
        <v>214</v>
      </c>
      <c r="B32" s="227"/>
      <c r="C32" s="259" t="s">
        <v>372</v>
      </c>
      <c r="D32" s="208">
        <f aca="true" t="shared" si="8" ref="D32:K32">D15+D16+D27+D28</f>
        <v>1097975</v>
      </c>
      <c r="E32" s="208">
        <f t="shared" si="8"/>
        <v>1097975</v>
      </c>
      <c r="F32" s="307">
        <f t="shared" si="8"/>
        <v>311823</v>
      </c>
      <c r="G32" s="208">
        <f t="shared" si="8"/>
        <v>0</v>
      </c>
      <c r="H32" s="208">
        <f t="shared" si="8"/>
        <v>0</v>
      </c>
      <c r="I32" s="208">
        <f t="shared" si="8"/>
        <v>279823</v>
      </c>
      <c r="J32" s="208">
        <f t="shared" si="8"/>
        <v>782152</v>
      </c>
      <c r="K32" s="208">
        <f t="shared" si="8"/>
        <v>786152</v>
      </c>
    </row>
    <row r="33" spans="1:11" s="21" customFormat="1" ht="29.25" customHeight="1">
      <c r="A33" s="262" t="s">
        <v>317</v>
      </c>
      <c r="B33" s="227"/>
      <c r="C33" s="253" t="s">
        <v>432</v>
      </c>
      <c r="D33" s="208">
        <f>D34+D35</f>
        <v>5000</v>
      </c>
      <c r="E33" s="208">
        <f>D33</f>
        <v>5000</v>
      </c>
      <c r="F33" s="307">
        <f>F34+F35</f>
        <v>2368.66</v>
      </c>
      <c r="G33" s="208">
        <f>G34</f>
        <v>0</v>
      </c>
      <c r="H33" s="208">
        <f>H34</f>
        <v>0</v>
      </c>
      <c r="I33" s="208">
        <f t="shared" si="7"/>
        <v>2368.66</v>
      </c>
      <c r="J33" s="208">
        <f>J34</f>
        <v>0</v>
      </c>
      <c r="K33" s="208">
        <f>K34</f>
        <v>0</v>
      </c>
    </row>
    <row r="34" spans="1:11" s="21" customFormat="1" ht="22.5" customHeight="1">
      <c r="A34" s="60" t="s">
        <v>55</v>
      </c>
      <c r="B34" s="61" t="s">
        <v>50</v>
      </c>
      <c r="C34" s="268" t="s">
        <v>433</v>
      </c>
      <c r="D34" s="90">
        <v>1600</v>
      </c>
      <c r="E34" s="90">
        <f>D34</f>
        <v>1600</v>
      </c>
      <c r="F34" s="308">
        <f>211.7+1118+270.3</f>
        <v>1600</v>
      </c>
      <c r="G34" s="62"/>
      <c r="H34" s="62"/>
      <c r="I34" s="62">
        <f t="shared" si="7"/>
        <v>1600</v>
      </c>
      <c r="J34" s="62">
        <f>D34-F34</f>
        <v>0</v>
      </c>
      <c r="K34" s="62">
        <f>E34-F34</f>
        <v>0</v>
      </c>
    </row>
    <row r="35" spans="1:11" s="21" customFormat="1" ht="22.5" customHeight="1">
      <c r="A35" s="60" t="s">
        <v>55</v>
      </c>
      <c r="B35" s="61" t="s">
        <v>50</v>
      </c>
      <c r="C35" s="268" t="s">
        <v>434</v>
      </c>
      <c r="D35" s="90">
        <v>3400</v>
      </c>
      <c r="E35" s="90">
        <f>D35</f>
        <v>3400</v>
      </c>
      <c r="F35" s="308">
        <f>768.66</f>
        <v>768.66</v>
      </c>
      <c r="G35" s="62"/>
      <c r="H35" s="62"/>
      <c r="I35" s="62">
        <f t="shared" si="7"/>
        <v>768.66</v>
      </c>
      <c r="J35" s="62"/>
      <c r="K35" s="62">
        <f>E35-F35</f>
        <v>2631.34</v>
      </c>
    </row>
    <row r="36" spans="1:11" s="21" customFormat="1" ht="18" customHeight="1">
      <c r="A36" s="262" t="s">
        <v>307</v>
      </c>
      <c r="B36" s="227"/>
      <c r="C36" s="253" t="s">
        <v>435</v>
      </c>
      <c r="D36" s="208">
        <f aca="true" t="shared" si="9" ref="D36:J36">D37</f>
        <v>5000</v>
      </c>
      <c r="E36" s="208">
        <f t="shared" si="9"/>
        <v>5000</v>
      </c>
      <c r="F36" s="307">
        <f t="shared" si="9"/>
        <v>5000</v>
      </c>
      <c r="G36" s="208" t="e">
        <f t="shared" si="9"/>
        <v>#REF!</v>
      </c>
      <c r="H36" s="208" t="e">
        <f t="shared" si="9"/>
        <v>#REF!</v>
      </c>
      <c r="I36" s="208" t="e">
        <f t="shared" si="9"/>
        <v>#REF!</v>
      </c>
      <c r="J36" s="208" t="e">
        <f t="shared" si="9"/>
        <v>#REF!</v>
      </c>
      <c r="K36" s="208">
        <f>D36-F36</f>
        <v>0</v>
      </c>
    </row>
    <row r="37" spans="1:11" s="21" customFormat="1" ht="22.5" customHeight="1">
      <c r="A37" s="82" t="s">
        <v>308</v>
      </c>
      <c r="B37" s="61" t="s">
        <v>50</v>
      </c>
      <c r="C37" s="268" t="s">
        <v>436</v>
      </c>
      <c r="D37" s="90">
        <v>5000</v>
      </c>
      <c r="E37" s="90">
        <f>D37</f>
        <v>5000</v>
      </c>
      <c r="F37" s="308">
        <v>5000</v>
      </c>
      <c r="G37" s="86" t="e">
        <f>#REF!</f>
        <v>#REF!</v>
      </c>
      <c r="H37" s="86" t="e">
        <f>#REF!</f>
        <v>#REF!</v>
      </c>
      <c r="I37" s="86" t="e">
        <f t="shared" si="7"/>
        <v>#REF!</v>
      </c>
      <c r="J37" s="86" t="e">
        <f>#REF!</f>
        <v>#REF!</v>
      </c>
      <c r="K37" s="62">
        <f>E37-F37</f>
        <v>0</v>
      </c>
    </row>
    <row r="38" spans="1:13" s="21" customFormat="1" ht="57.75" customHeight="1">
      <c r="A38" s="218" t="s">
        <v>200</v>
      </c>
      <c r="B38" s="209"/>
      <c r="C38" s="210" t="s">
        <v>90</v>
      </c>
      <c r="D38" s="211">
        <f aca="true" t="shared" si="10" ref="D38:M38">D8+D12+D28+D33+D37</f>
        <v>1715995</v>
      </c>
      <c r="E38" s="211">
        <f t="shared" si="10"/>
        <v>1715995</v>
      </c>
      <c r="F38" s="307">
        <f t="shared" si="10"/>
        <v>465674.62999999995</v>
      </c>
      <c r="G38" s="211" t="e">
        <f t="shared" si="10"/>
        <v>#REF!</v>
      </c>
      <c r="H38" s="211" t="e">
        <f t="shared" si="10"/>
        <v>#REF!</v>
      </c>
      <c r="I38" s="211" t="e">
        <f t="shared" si="10"/>
        <v>#REF!</v>
      </c>
      <c r="J38" s="211" t="e">
        <f t="shared" si="10"/>
        <v>#REF!</v>
      </c>
      <c r="K38" s="211">
        <f t="shared" si="10"/>
        <v>1190350.54</v>
      </c>
      <c r="L38" s="65">
        <f t="shared" si="10"/>
        <v>0</v>
      </c>
      <c r="M38" s="65">
        <f t="shared" si="10"/>
        <v>0</v>
      </c>
    </row>
    <row r="39" spans="1:11" s="59" customFormat="1" ht="45.75" customHeight="1">
      <c r="A39" s="232" t="s">
        <v>207</v>
      </c>
      <c r="B39" s="61"/>
      <c r="C39" s="97" t="s">
        <v>437</v>
      </c>
      <c r="D39" s="79">
        <f>SUM(D40:D40)</f>
        <v>2000</v>
      </c>
      <c r="E39" s="79">
        <f aca="true" t="shared" si="11" ref="E39:K39">SUM(E40:E40)</f>
        <v>2000</v>
      </c>
      <c r="F39" s="310">
        <f>F40</f>
        <v>0</v>
      </c>
      <c r="G39" s="79">
        <f t="shared" si="11"/>
        <v>0</v>
      </c>
      <c r="H39" s="79">
        <f t="shared" si="11"/>
        <v>0</v>
      </c>
      <c r="I39" s="79">
        <f t="shared" si="11"/>
        <v>0</v>
      </c>
      <c r="J39" s="79">
        <f t="shared" si="11"/>
        <v>2000</v>
      </c>
      <c r="K39" s="79">
        <f t="shared" si="11"/>
        <v>2000</v>
      </c>
    </row>
    <row r="40" spans="1:11" s="21" customFormat="1" ht="28.5" customHeight="1">
      <c r="A40" s="87" t="s">
        <v>170</v>
      </c>
      <c r="B40" s="61" t="s">
        <v>50</v>
      </c>
      <c r="C40" s="268" t="s">
        <v>438</v>
      </c>
      <c r="D40" s="90">
        <v>2000</v>
      </c>
      <c r="E40" s="90">
        <f>D40</f>
        <v>2000</v>
      </c>
      <c r="F40" s="308">
        <v>0</v>
      </c>
      <c r="G40" s="62">
        <v>0</v>
      </c>
      <c r="H40" s="62">
        <v>0</v>
      </c>
      <c r="I40" s="62">
        <f>SUM(F40:H40)</f>
        <v>0</v>
      </c>
      <c r="J40" s="62">
        <f>D40-F40</f>
        <v>2000</v>
      </c>
      <c r="K40" s="62">
        <f>E40-F40</f>
        <v>2000</v>
      </c>
    </row>
    <row r="41" spans="1:11" s="21" customFormat="1" ht="63" customHeight="1">
      <c r="A41" s="194" t="s">
        <v>323</v>
      </c>
      <c r="B41" s="61"/>
      <c r="C41" s="195" t="s">
        <v>439</v>
      </c>
      <c r="D41" s="65">
        <f>D42</f>
        <v>300</v>
      </c>
      <c r="E41" s="65">
        <f>D41</f>
        <v>300</v>
      </c>
      <c r="F41" s="312">
        <f>F42</f>
        <v>0</v>
      </c>
      <c r="G41" s="86"/>
      <c r="H41" s="86"/>
      <c r="I41" s="86">
        <f>SUM(F41:H41)</f>
        <v>0</v>
      </c>
      <c r="J41" s="86">
        <f>D41-F41</f>
        <v>300</v>
      </c>
      <c r="K41" s="86">
        <f>E41-F41</f>
        <v>300</v>
      </c>
    </row>
    <row r="42" spans="1:11" s="21" customFormat="1" ht="28.5" customHeight="1">
      <c r="A42" s="87" t="s">
        <v>170</v>
      </c>
      <c r="B42" s="61" t="s">
        <v>50</v>
      </c>
      <c r="C42" s="268" t="s">
        <v>440</v>
      </c>
      <c r="D42" s="90">
        <v>300</v>
      </c>
      <c r="E42" s="90">
        <f>D42</f>
        <v>300</v>
      </c>
      <c r="F42" s="308">
        <v>0</v>
      </c>
      <c r="G42" s="62"/>
      <c r="H42" s="62"/>
      <c r="I42" s="62">
        <f>SUM(F42:H42)</f>
        <v>0</v>
      </c>
      <c r="J42" s="62">
        <f>D42-F42</f>
        <v>300</v>
      </c>
      <c r="K42" s="62">
        <f>E42-F42</f>
        <v>300</v>
      </c>
    </row>
    <row r="43" spans="1:13" s="21" customFormat="1" ht="40.5" customHeight="1">
      <c r="A43" s="218" t="s">
        <v>147</v>
      </c>
      <c r="B43" s="212"/>
      <c r="C43" s="213" t="s">
        <v>146</v>
      </c>
      <c r="D43" s="211">
        <f>D40+D42</f>
        <v>2300</v>
      </c>
      <c r="E43" s="211">
        <f>E40+E42</f>
        <v>2300</v>
      </c>
      <c r="F43" s="307">
        <f aca="true" t="shared" si="12" ref="F43:M43">F40+F42</f>
        <v>0</v>
      </c>
      <c r="G43" s="211">
        <f t="shared" si="12"/>
        <v>0</v>
      </c>
      <c r="H43" s="211">
        <f t="shared" si="12"/>
        <v>0</v>
      </c>
      <c r="I43" s="211">
        <f t="shared" si="12"/>
        <v>0</v>
      </c>
      <c r="J43" s="211">
        <f t="shared" si="12"/>
        <v>2300</v>
      </c>
      <c r="K43" s="211">
        <f t="shared" si="12"/>
        <v>2300</v>
      </c>
      <c r="L43" s="65">
        <f t="shared" si="12"/>
        <v>0</v>
      </c>
      <c r="M43" s="65">
        <f t="shared" si="12"/>
        <v>0</v>
      </c>
    </row>
    <row r="44" spans="1:11" s="21" customFormat="1" ht="20.25" customHeight="1" hidden="1">
      <c r="A44" s="196" t="s">
        <v>157</v>
      </c>
      <c r="B44" s="63"/>
      <c r="C44" s="197" t="s">
        <v>325</v>
      </c>
      <c r="D44" s="65">
        <f aca="true" t="shared" si="13" ref="D44:F45">D45</f>
        <v>0</v>
      </c>
      <c r="E44" s="65">
        <f t="shared" si="13"/>
        <v>0</v>
      </c>
      <c r="F44" s="307">
        <f t="shared" si="13"/>
        <v>0</v>
      </c>
      <c r="G44" s="65"/>
      <c r="H44" s="65"/>
      <c r="I44" s="65">
        <f>SUM(F44:H44)</f>
        <v>0</v>
      </c>
      <c r="J44" s="65">
        <f>D44-F44</f>
        <v>0</v>
      </c>
      <c r="K44" s="65">
        <f>E44-F44</f>
        <v>0</v>
      </c>
    </row>
    <row r="45" spans="1:11" s="21" customFormat="1" ht="16.5" customHeight="1" hidden="1">
      <c r="A45" s="196" t="s">
        <v>308</v>
      </c>
      <c r="B45" s="63"/>
      <c r="C45" s="268" t="s">
        <v>346</v>
      </c>
      <c r="D45" s="90">
        <f t="shared" si="13"/>
        <v>0</v>
      </c>
      <c r="E45" s="90">
        <f t="shared" si="13"/>
        <v>0</v>
      </c>
      <c r="F45" s="309">
        <f t="shared" si="13"/>
        <v>0</v>
      </c>
      <c r="G45" s="65"/>
      <c r="H45" s="65"/>
      <c r="I45" s="62">
        <f>SUM(F45:H45)</f>
        <v>0</v>
      </c>
      <c r="J45" s="90">
        <f>D45-F45</f>
        <v>0</v>
      </c>
      <c r="K45" s="90">
        <f>E45-F45</f>
        <v>0</v>
      </c>
    </row>
    <row r="46" spans="1:11" s="21" customFormat="1" ht="16.5" customHeight="1" hidden="1">
      <c r="A46" s="196" t="s">
        <v>326</v>
      </c>
      <c r="B46" s="63"/>
      <c r="C46" s="268" t="s">
        <v>346</v>
      </c>
      <c r="D46" s="90">
        <v>0</v>
      </c>
      <c r="E46" s="90">
        <f>D46</f>
        <v>0</v>
      </c>
      <c r="F46" s="309">
        <v>0</v>
      </c>
      <c r="G46" s="65"/>
      <c r="H46" s="65"/>
      <c r="I46" s="62">
        <f>SUM(F46:H46)</f>
        <v>0</v>
      </c>
      <c r="J46" s="90">
        <f>D46-F46</f>
        <v>0</v>
      </c>
      <c r="K46" s="90">
        <f>E46-F46</f>
        <v>0</v>
      </c>
    </row>
    <row r="47" spans="1:11" s="21" customFormat="1" ht="23.25" customHeight="1" hidden="1">
      <c r="A47" s="214" t="s">
        <v>324</v>
      </c>
      <c r="B47" s="212"/>
      <c r="C47" s="213" t="s">
        <v>158</v>
      </c>
      <c r="D47" s="211">
        <f>D44</f>
        <v>0</v>
      </c>
      <c r="E47" s="211">
        <f>E44</f>
        <v>0</v>
      </c>
      <c r="F47" s="307">
        <f>F44</f>
        <v>0</v>
      </c>
      <c r="G47" s="211"/>
      <c r="H47" s="211"/>
      <c r="I47" s="211">
        <f>SUM(F47:H47)</f>
        <v>0</v>
      </c>
      <c r="J47" s="211">
        <f>D47-F47</f>
        <v>0</v>
      </c>
      <c r="K47" s="211">
        <f>E47-F47</f>
        <v>0</v>
      </c>
    </row>
    <row r="48" spans="1:11" s="21" customFormat="1" ht="29.25" customHeight="1">
      <c r="A48" s="93" t="s">
        <v>208</v>
      </c>
      <c r="B48" s="63"/>
      <c r="C48" s="80" t="s">
        <v>441</v>
      </c>
      <c r="D48" s="65">
        <f aca="true" t="shared" si="14" ref="D48:K48">D49+D50</f>
        <v>21000</v>
      </c>
      <c r="E48" s="65">
        <f t="shared" si="14"/>
        <v>21000</v>
      </c>
      <c r="F48" s="307">
        <f t="shared" si="14"/>
        <v>0</v>
      </c>
      <c r="G48" s="65">
        <f t="shared" si="14"/>
        <v>0</v>
      </c>
      <c r="H48" s="65">
        <f t="shared" si="14"/>
        <v>0</v>
      </c>
      <c r="I48" s="65">
        <f t="shared" si="14"/>
        <v>0</v>
      </c>
      <c r="J48" s="65">
        <f t="shared" si="14"/>
        <v>21000</v>
      </c>
      <c r="K48" s="65">
        <f t="shared" si="14"/>
        <v>21000</v>
      </c>
    </row>
    <row r="49" spans="1:11" s="21" customFormat="1" ht="18" customHeight="1">
      <c r="A49" s="82" t="s">
        <v>55</v>
      </c>
      <c r="B49" s="61">
        <v>200</v>
      </c>
      <c r="C49" s="268" t="s">
        <v>442</v>
      </c>
      <c r="D49" s="90">
        <v>21000</v>
      </c>
      <c r="E49" s="90">
        <f>D49</f>
        <v>21000</v>
      </c>
      <c r="F49" s="309">
        <v>0</v>
      </c>
      <c r="G49" s="90">
        <v>0</v>
      </c>
      <c r="H49" s="90">
        <v>0</v>
      </c>
      <c r="I49" s="90">
        <f>F49+G49+H49</f>
        <v>0</v>
      </c>
      <c r="J49" s="90">
        <f>D49-F49</f>
        <v>21000</v>
      </c>
      <c r="K49" s="90">
        <f>E49-F49</f>
        <v>21000</v>
      </c>
    </row>
    <row r="50" spans="1:11" s="21" customFormat="1" ht="16.5" customHeight="1" hidden="1">
      <c r="A50" s="98" t="s">
        <v>308</v>
      </c>
      <c r="B50" s="61" t="s">
        <v>50</v>
      </c>
      <c r="C50" s="80" t="s">
        <v>385</v>
      </c>
      <c r="D50" s="90">
        <f aca="true" t="shared" si="15" ref="D50:K50">D51</f>
        <v>0</v>
      </c>
      <c r="E50" s="90">
        <f t="shared" si="15"/>
        <v>0</v>
      </c>
      <c r="F50" s="308">
        <f t="shared" si="15"/>
        <v>0</v>
      </c>
      <c r="G50" s="62">
        <f t="shared" si="15"/>
        <v>0</v>
      </c>
      <c r="H50" s="62">
        <f t="shared" si="15"/>
        <v>0</v>
      </c>
      <c r="I50" s="90">
        <f>F50+G50+H50</f>
        <v>0</v>
      </c>
      <c r="J50" s="62">
        <f t="shared" si="15"/>
        <v>0</v>
      </c>
      <c r="K50" s="62">
        <f t="shared" si="15"/>
        <v>0</v>
      </c>
    </row>
    <row r="51" spans="1:11" s="21" customFormat="1" ht="16.5" customHeight="1" hidden="1">
      <c r="A51" s="82" t="s">
        <v>309</v>
      </c>
      <c r="B51" s="61" t="s">
        <v>50</v>
      </c>
      <c r="C51" s="268" t="s">
        <v>388</v>
      </c>
      <c r="D51" s="90">
        <v>0</v>
      </c>
      <c r="E51" s="90">
        <f>D51</f>
        <v>0</v>
      </c>
      <c r="F51" s="309">
        <v>0</v>
      </c>
      <c r="G51" s="90">
        <v>0</v>
      </c>
      <c r="H51" s="90">
        <v>0</v>
      </c>
      <c r="I51" s="90">
        <f>F51+G51+H51</f>
        <v>0</v>
      </c>
      <c r="J51" s="62">
        <f>J52</f>
        <v>0</v>
      </c>
      <c r="K51" s="62">
        <f>K52</f>
        <v>0</v>
      </c>
    </row>
    <row r="52" spans="1:11" s="21" customFormat="1" ht="35.25" customHeight="1" hidden="1">
      <c r="A52" s="93" t="s">
        <v>138</v>
      </c>
      <c r="B52" s="63"/>
      <c r="C52" s="80" t="s">
        <v>315</v>
      </c>
      <c r="D52" s="65">
        <f>SUM(D53:D55)</f>
        <v>0</v>
      </c>
      <c r="E52" s="65">
        <f>SUM(E53:E55)</f>
        <v>0</v>
      </c>
      <c r="F52" s="307">
        <f>F53+F54</f>
        <v>0</v>
      </c>
      <c r="G52" s="65">
        <f>SUM(G53:G54)</f>
        <v>0</v>
      </c>
      <c r="H52" s="65">
        <f>SUM(H53:H54)</f>
        <v>0</v>
      </c>
      <c r="I52" s="65">
        <f>SUM(I53:I54)</f>
        <v>0</v>
      </c>
      <c r="J52" s="79">
        <f>SUM(J53:J55)</f>
        <v>0</v>
      </c>
      <c r="K52" s="79">
        <f>SUM(K53:K55)</f>
        <v>0</v>
      </c>
    </row>
    <row r="53" spans="1:11" s="21" customFormat="1" ht="15" customHeight="1" hidden="1">
      <c r="A53" s="82" t="s">
        <v>53</v>
      </c>
      <c r="B53" s="61" t="s">
        <v>50</v>
      </c>
      <c r="C53" s="268" t="s">
        <v>310</v>
      </c>
      <c r="D53" s="90">
        <v>0</v>
      </c>
      <c r="E53" s="90">
        <f>D53</f>
        <v>0</v>
      </c>
      <c r="F53" s="308">
        <v>0</v>
      </c>
      <c r="G53" s="90">
        <v>0</v>
      </c>
      <c r="H53" s="90">
        <v>0</v>
      </c>
      <c r="I53" s="90">
        <f>SUM(F53:H53)</f>
        <v>0</v>
      </c>
      <c r="J53" s="90">
        <f>D53-F53</f>
        <v>0</v>
      </c>
      <c r="K53" s="90">
        <f>E53-F53</f>
        <v>0</v>
      </c>
    </row>
    <row r="54" spans="1:11" s="21" customFormat="1" ht="15" customHeight="1" hidden="1">
      <c r="A54" s="82" t="s">
        <v>54</v>
      </c>
      <c r="B54" s="61" t="s">
        <v>50</v>
      </c>
      <c r="C54" s="268" t="s">
        <v>209</v>
      </c>
      <c r="D54" s="90">
        <v>0</v>
      </c>
      <c r="E54" s="90">
        <f>D54</f>
        <v>0</v>
      </c>
      <c r="F54" s="308">
        <v>0</v>
      </c>
      <c r="G54" s="90">
        <v>0</v>
      </c>
      <c r="H54" s="90">
        <v>0</v>
      </c>
      <c r="I54" s="90">
        <f>SUM(F54:H54)</f>
        <v>0</v>
      </c>
      <c r="J54" s="90">
        <f>D54-F54</f>
        <v>0</v>
      </c>
      <c r="K54" s="90">
        <f>E54-F54</f>
        <v>0</v>
      </c>
    </row>
    <row r="55" spans="1:11" s="21" customFormat="1" ht="15" customHeight="1" hidden="1">
      <c r="A55" s="60" t="s">
        <v>55</v>
      </c>
      <c r="B55" s="61" t="s">
        <v>50</v>
      </c>
      <c r="C55" s="268" t="s">
        <v>142</v>
      </c>
      <c r="D55" s="90"/>
      <c r="E55" s="90">
        <f>D55</f>
        <v>0</v>
      </c>
      <c r="F55" s="309">
        <v>0</v>
      </c>
      <c r="G55" s="90">
        <v>0</v>
      </c>
      <c r="H55" s="90">
        <v>0</v>
      </c>
      <c r="I55" s="90">
        <f>SUM(F55:H55)</f>
        <v>0</v>
      </c>
      <c r="J55" s="90">
        <f>D55-F55</f>
        <v>0</v>
      </c>
      <c r="K55" s="90">
        <f>E55-F55</f>
        <v>0</v>
      </c>
    </row>
    <row r="56" spans="1:11" s="21" customFormat="1" ht="44.25" customHeight="1" hidden="1">
      <c r="A56" s="82" t="s">
        <v>318</v>
      </c>
      <c r="B56" s="61"/>
      <c r="C56" s="80" t="s">
        <v>319</v>
      </c>
      <c r="D56" s="65">
        <f>D58</f>
        <v>0</v>
      </c>
      <c r="E56" s="65">
        <f aca="true" t="shared" si="16" ref="E56:K56">E58</f>
        <v>0</v>
      </c>
      <c r="F56" s="307">
        <f t="shared" si="16"/>
        <v>0</v>
      </c>
      <c r="G56" s="65">
        <f t="shared" si="16"/>
        <v>0</v>
      </c>
      <c r="H56" s="65">
        <f t="shared" si="16"/>
        <v>0</v>
      </c>
      <c r="I56" s="65">
        <f t="shared" si="16"/>
        <v>0</v>
      </c>
      <c r="J56" s="65">
        <f t="shared" si="16"/>
        <v>0</v>
      </c>
      <c r="K56" s="65">
        <f t="shared" si="16"/>
        <v>0</v>
      </c>
    </row>
    <row r="57" spans="1:11" s="59" customFormat="1" ht="19.5" customHeight="1" hidden="1">
      <c r="A57" s="98" t="s">
        <v>308</v>
      </c>
      <c r="B57" s="70"/>
      <c r="C57" s="270"/>
      <c r="D57" s="79"/>
      <c r="E57" s="79"/>
      <c r="F57" s="310"/>
      <c r="G57" s="79"/>
      <c r="H57" s="79"/>
      <c r="I57" s="79"/>
      <c r="J57" s="79"/>
      <c r="K57" s="79"/>
    </row>
    <row r="58" spans="1:11" s="21" customFormat="1" ht="16.5" customHeight="1" hidden="1">
      <c r="A58" s="82" t="s">
        <v>309</v>
      </c>
      <c r="B58" s="61" t="s">
        <v>50</v>
      </c>
      <c r="C58" s="268" t="s">
        <v>321</v>
      </c>
      <c r="D58" s="90">
        <v>0</v>
      </c>
      <c r="E58" s="90">
        <f>D58</f>
        <v>0</v>
      </c>
      <c r="F58" s="308">
        <v>0</v>
      </c>
      <c r="G58" s="62">
        <v>0</v>
      </c>
      <c r="H58" s="62">
        <v>0</v>
      </c>
      <c r="I58" s="62">
        <f>SUM(F58:H58)</f>
        <v>0</v>
      </c>
      <c r="J58" s="62">
        <f>D58-F58</f>
        <v>0</v>
      </c>
      <c r="K58" s="62">
        <f>E58-F58</f>
        <v>0</v>
      </c>
    </row>
    <row r="59" spans="1:11" s="21" customFormat="1" ht="16.5" customHeight="1" hidden="1">
      <c r="A59" s="60" t="s">
        <v>53</v>
      </c>
      <c r="B59" s="61" t="s">
        <v>50</v>
      </c>
      <c r="C59" s="268" t="s">
        <v>136</v>
      </c>
      <c r="D59" s="90">
        <v>0</v>
      </c>
      <c r="E59" s="90">
        <f>D59</f>
        <v>0</v>
      </c>
      <c r="F59" s="308">
        <v>0</v>
      </c>
      <c r="G59" s="62">
        <v>0</v>
      </c>
      <c r="H59" s="62">
        <v>0</v>
      </c>
      <c r="I59" s="62">
        <f>SUM(F59:H59)</f>
        <v>0</v>
      </c>
      <c r="J59" s="62">
        <f>D59-F59</f>
        <v>0</v>
      </c>
      <c r="K59" s="62">
        <f>E59-F59</f>
        <v>0</v>
      </c>
    </row>
    <row r="60" spans="1:11" s="21" customFormat="1" ht="16.5" customHeight="1" hidden="1">
      <c r="A60" s="60" t="s">
        <v>54</v>
      </c>
      <c r="B60" s="61" t="s">
        <v>50</v>
      </c>
      <c r="C60" s="268" t="s">
        <v>137</v>
      </c>
      <c r="D60" s="90">
        <v>0</v>
      </c>
      <c r="E60" s="90">
        <f>D60</f>
        <v>0</v>
      </c>
      <c r="F60" s="308">
        <v>0</v>
      </c>
      <c r="G60" s="62">
        <v>0</v>
      </c>
      <c r="H60" s="62">
        <v>0</v>
      </c>
      <c r="I60" s="62">
        <f>SUM(F60:H60)</f>
        <v>0</v>
      </c>
      <c r="J60" s="62">
        <f>D60-F60</f>
        <v>0</v>
      </c>
      <c r="K60" s="62">
        <f>E60-F60</f>
        <v>0</v>
      </c>
    </row>
    <row r="61" spans="1:11" s="21" customFormat="1" ht="16.5" customHeight="1" hidden="1">
      <c r="A61" s="60" t="s">
        <v>56</v>
      </c>
      <c r="B61" s="61" t="s">
        <v>50</v>
      </c>
      <c r="C61" s="268" t="s">
        <v>160</v>
      </c>
      <c r="D61" s="90">
        <v>0</v>
      </c>
      <c r="E61" s="90">
        <v>0</v>
      </c>
      <c r="F61" s="308">
        <v>0</v>
      </c>
      <c r="G61" s="62">
        <v>0</v>
      </c>
      <c r="H61" s="62">
        <v>0</v>
      </c>
      <c r="I61" s="62">
        <f>SUM(F61:H61)</f>
        <v>0</v>
      </c>
      <c r="J61" s="62">
        <f>D61-F61</f>
        <v>0</v>
      </c>
      <c r="K61" s="62">
        <f>E61-F61</f>
        <v>0</v>
      </c>
    </row>
    <row r="62" spans="1:11" s="21" customFormat="1" ht="28.5" customHeight="1">
      <c r="A62" s="93" t="s">
        <v>210</v>
      </c>
      <c r="B62" s="61"/>
      <c r="C62" s="80" t="s">
        <v>443</v>
      </c>
      <c r="D62" s="79">
        <f aca="true" t="shared" si="17" ref="D62:K62">SUM(D63:D63)</f>
        <v>500</v>
      </c>
      <c r="E62" s="79">
        <f t="shared" si="17"/>
        <v>500</v>
      </c>
      <c r="F62" s="310">
        <f>F63</f>
        <v>0</v>
      </c>
      <c r="G62" s="79">
        <f t="shared" si="17"/>
        <v>0</v>
      </c>
      <c r="H62" s="79">
        <f t="shared" si="17"/>
        <v>0</v>
      </c>
      <c r="I62" s="79">
        <f t="shared" si="17"/>
        <v>0</v>
      </c>
      <c r="J62" s="79">
        <f t="shared" si="17"/>
        <v>500</v>
      </c>
      <c r="K62" s="79">
        <f t="shared" si="17"/>
        <v>500</v>
      </c>
    </row>
    <row r="63" spans="1:11" s="21" customFormat="1" ht="30.75" customHeight="1">
      <c r="A63" s="87" t="s">
        <v>170</v>
      </c>
      <c r="B63" s="61" t="s">
        <v>50</v>
      </c>
      <c r="C63" s="268" t="s">
        <v>444</v>
      </c>
      <c r="D63" s="90">
        <f>500</f>
        <v>500</v>
      </c>
      <c r="E63" s="90">
        <f>D63</f>
        <v>500</v>
      </c>
      <c r="F63" s="308">
        <v>0</v>
      </c>
      <c r="G63" s="62">
        <v>0</v>
      </c>
      <c r="H63" s="62">
        <v>0</v>
      </c>
      <c r="I63" s="62">
        <f>SUM(F63:H63)</f>
        <v>0</v>
      </c>
      <c r="J63" s="62">
        <f>D63-F63</f>
        <v>500</v>
      </c>
      <c r="K63" s="62">
        <f>E63-F63</f>
        <v>500</v>
      </c>
    </row>
    <row r="64" spans="1:11" s="21" customFormat="1" ht="42.75" customHeight="1">
      <c r="A64" s="87" t="s">
        <v>486</v>
      </c>
      <c r="B64" s="61" t="s">
        <v>50</v>
      </c>
      <c r="C64" s="268" t="s">
        <v>488</v>
      </c>
      <c r="D64" s="90">
        <v>225</v>
      </c>
      <c r="E64" s="90">
        <f>D64</f>
        <v>225</v>
      </c>
      <c r="F64" s="308">
        <v>0</v>
      </c>
      <c r="G64" s="62"/>
      <c r="H64" s="62"/>
      <c r="I64" s="62">
        <f>SUM(F64:H64)</f>
        <v>0</v>
      </c>
      <c r="J64" s="62">
        <f>D64-F64</f>
        <v>225</v>
      </c>
      <c r="K64" s="62">
        <f>E64-F64</f>
        <v>225</v>
      </c>
    </row>
    <row r="65" spans="1:11" s="21" customFormat="1" ht="29.25" customHeight="1">
      <c r="A65" s="228" t="s">
        <v>410</v>
      </c>
      <c r="B65" s="215"/>
      <c r="C65" s="224" t="s">
        <v>117</v>
      </c>
      <c r="D65" s="208">
        <f>D52+D56+D62+D48+D64</f>
        <v>21725</v>
      </c>
      <c r="E65" s="208">
        <f aca="true" t="shared" si="18" ref="E65:K65">E52+E56+E62+E48</f>
        <v>21500</v>
      </c>
      <c r="F65" s="307">
        <f t="shared" si="18"/>
        <v>0</v>
      </c>
      <c r="G65" s="208">
        <f t="shared" si="18"/>
        <v>0</v>
      </c>
      <c r="H65" s="208">
        <f t="shared" si="18"/>
        <v>0</v>
      </c>
      <c r="I65" s="208">
        <f t="shared" si="18"/>
        <v>0</v>
      </c>
      <c r="J65" s="208">
        <f t="shared" si="18"/>
        <v>21500</v>
      </c>
      <c r="K65" s="208">
        <f t="shared" si="18"/>
        <v>21500</v>
      </c>
    </row>
    <row r="66" spans="1:13" s="21" customFormat="1" ht="25.5" customHeight="1">
      <c r="A66" s="263" t="s">
        <v>201</v>
      </c>
      <c r="B66" s="215"/>
      <c r="C66" s="207" t="s">
        <v>189</v>
      </c>
      <c r="D66" s="208">
        <f aca="true" t="shared" si="19" ref="D66:M66">D38+D43+D65+D47</f>
        <v>1740020</v>
      </c>
      <c r="E66" s="208">
        <f t="shared" si="19"/>
        <v>1739795</v>
      </c>
      <c r="F66" s="307">
        <f t="shared" si="19"/>
        <v>465674.62999999995</v>
      </c>
      <c r="G66" s="208" t="e">
        <f t="shared" si="19"/>
        <v>#REF!</v>
      </c>
      <c r="H66" s="208" t="e">
        <f t="shared" si="19"/>
        <v>#REF!</v>
      </c>
      <c r="I66" s="208" t="e">
        <f t="shared" si="19"/>
        <v>#REF!</v>
      </c>
      <c r="J66" s="208" t="e">
        <f t="shared" si="19"/>
        <v>#REF!</v>
      </c>
      <c r="K66" s="208">
        <f t="shared" si="19"/>
        <v>1214150.54</v>
      </c>
      <c r="L66" s="65">
        <f t="shared" si="19"/>
        <v>0</v>
      </c>
      <c r="M66" s="65">
        <f t="shared" si="19"/>
        <v>0</v>
      </c>
    </row>
    <row r="67" spans="1:15" s="59" customFormat="1" ht="43.5" customHeight="1">
      <c r="A67" s="93" t="s">
        <v>161</v>
      </c>
      <c r="B67" s="70"/>
      <c r="C67" s="80" t="s">
        <v>445</v>
      </c>
      <c r="D67" s="79">
        <f>D68+D69+D71+D74</f>
        <v>114948.95999999999</v>
      </c>
      <c r="E67" s="79">
        <f aca="true" t="shared" si="20" ref="E67:K67">E68+E69+E71+E74</f>
        <v>114948.95999999999</v>
      </c>
      <c r="F67" s="310">
        <f>F68+F69+F71+F74</f>
        <v>30533.88</v>
      </c>
      <c r="G67" s="79">
        <f t="shared" si="20"/>
        <v>0</v>
      </c>
      <c r="H67" s="79">
        <f t="shared" si="20"/>
        <v>0</v>
      </c>
      <c r="I67" s="79">
        <f t="shared" si="20"/>
        <v>30533.88</v>
      </c>
      <c r="J67" s="79">
        <f t="shared" si="20"/>
        <v>84415.07999999999</v>
      </c>
      <c r="K67" s="79">
        <f t="shared" si="20"/>
        <v>84415.07999999999</v>
      </c>
      <c r="O67" s="242"/>
    </row>
    <row r="68" spans="1:11" s="21" customFormat="1" ht="16.5" customHeight="1">
      <c r="A68" s="60" t="s">
        <v>51</v>
      </c>
      <c r="B68" s="61" t="s">
        <v>50</v>
      </c>
      <c r="C68" s="268" t="s">
        <v>446</v>
      </c>
      <c r="D68" s="90">
        <v>80592</v>
      </c>
      <c r="E68" s="90">
        <f aca="true" t="shared" si="21" ref="E68:E74">D68</f>
        <v>80592</v>
      </c>
      <c r="F68" s="308">
        <f>2500+325+845+5652.68+4923.28+2500+1074+2922.68+2500+845+325</f>
        <v>24412.64</v>
      </c>
      <c r="G68" s="62">
        <v>0</v>
      </c>
      <c r="H68" s="62">
        <v>0</v>
      </c>
      <c r="I68" s="62">
        <f aca="true" t="shared" si="22" ref="I68:I74">SUM(F68:H68)</f>
        <v>24412.64</v>
      </c>
      <c r="J68" s="62">
        <f aca="true" t="shared" si="23" ref="J68:J74">D68-F68</f>
        <v>56179.36</v>
      </c>
      <c r="K68" s="62">
        <f aca="true" t="shared" si="24" ref="K68:K74">E68-F68</f>
        <v>56179.36</v>
      </c>
    </row>
    <row r="69" spans="1:11" s="21" customFormat="1" ht="35.25" customHeight="1">
      <c r="A69" s="198" t="s">
        <v>345</v>
      </c>
      <c r="B69" s="61"/>
      <c r="C69" s="268" t="s">
        <v>475</v>
      </c>
      <c r="D69" s="90">
        <v>0</v>
      </c>
      <c r="E69" s="90">
        <f t="shared" si="21"/>
        <v>0</v>
      </c>
      <c r="F69" s="308">
        <v>0</v>
      </c>
      <c r="G69" s="62"/>
      <c r="H69" s="62"/>
      <c r="I69" s="62">
        <f t="shared" si="22"/>
        <v>0</v>
      </c>
      <c r="J69" s="62">
        <f t="shared" si="23"/>
        <v>0</v>
      </c>
      <c r="K69" s="62">
        <f t="shared" si="24"/>
        <v>0</v>
      </c>
    </row>
    <row r="70" spans="1:11" s="21" customFormat="1" ht="18" customHeight="1">
      <c r="A70" s="198"/>
      <c r="B70" s="61"/>
      <c r="C70" s="268" t="s">
        <v>363</v>
      </c>
      <c r="D70" s="90">
        <f>D68+D69</f>
        <v>80592</v>
      </c>
      <c r="E70" s="90">
        <f aca="true" t="shared" si="25" ref="E70:K70">E68+E69</f>
        <v>80592</v>
      </c>
      <c r="F70" s="309">
        <f t="shared" si="25"/>
        <v>24412.64</v>
      </c>
      <c r="G70" s="90">
        <f t="shared" si="25"/>
        <v>0</v>
      </c>
      <c r="H70" s="90">
        <f t="shared" si="25"/>
        <v>0</v>
      </c>
      <c r="I70" s="90">
        <f t="shared" si="25"/>
        <v>24412.64</v>
      </c>
      <c r="J70" s="90">
        <f t="shared" si="25"/>
        <v>56179.36</v>
      </c>
      <c r="K70" s="90">
        <f t="shared" si="25"/>
        <v>56179.36</v>
      </c>
    </row>
    <row r="71" spans="1:11" s="21" customFormat="1" ht="17.25" customHeight="1">
      <c r="A71" s="60" t="s">
        <v>52</v>
      </c>
      <c r="B71" s="61" t="s">
        <v>50</v>
      </c>
      <c r="C71" s="268" t="s">
        <v>447</v>
      </c>
      <c r="D71" s="90">
        <v>24339</v>
      </c>
      <c r="E71" s="90">
        <f t="shared" si="21"/>
        <v>24339</v>
      </c>
      <c r="F71" s="308">
        <f>1949.3+13+2182.09+14.55+1949.3+13</f>
        <v>6121.240000000001</v>
      </c>
      <c r="G71" s="62">
        <v>0</v>
      </c>
      <c r="H71" s="62">
        <v>0</v>
      </c>
      <c r="I71" s="62">
        <f t="shared" si="22"/>
        <v>6121.240000000001</v>
      </c>
      <c r="J71" s="62">
        <f t="shared" si="23"/>
        <v>18217.76</v>
      </c>
      <c r="K71" s="62">
        <f t="shared" si="24"/>
        <v>18217.76</v>
      </c>
    </row>
    <row r="72" spans="1:11" s="21" customFormat="1" ht="15" customHeight="1" hidden="1">
      <c r="A72" s="60" t="s">
        <v>55</v>
      </c>
      <c r="B72" s="61" t="s">
        <v>50</v>
      </c>
      <c r="C72" s="268" t="s">
        <v>125</v>
      </c>
      <c r="D72" s="90">
        <v>0</v>
      </c>
      <c r="E72" s="90">
        <f t="shared" si="21"/>
        <v>0</v>
      </c>
      <c r="F72" s="308"/>
      <c r="G72" s="62">
        <v>0</v>
      </c>
      <c r="H72" s="62">
        <v>0</v>
      </c>
      <c r="I72" s="62">
        <f t="shared" si="22"/>
        <v>0</v>
      </c>
      <c r="J72" s="62">
        <f t="shared" si="23"/>
        <v>0</v>
      </c>
      <c r="K72" s="62">
        <f t="shared" si="24"/>
        <v>0</v>
      </c>
    </row>
    <row r="73" spans="1:11" s="21" customFormat="1" ht="1.5" customHeight="1">
      <c r="A73" s="60" t="s">
        <v>116</v>
      </c>
      <c r="B73" s="61" t="s">
        <v>50</v>
      </c>
      <c r="C73" s="268" t="s">
        <v>448</v>
      </c>
      <c r="D73" s="90">
        <v>0</v>
      </c>
      <c r="E73" s="90">
        <f t="shared" si="21"/>
        <v>0</v>
      </c>
      <c r="F73" s="308"/>
      <c r="G73" s="62">
        <v>0</v>
      </c>
      <c r="H73" s="62">
        <v>0</v>
      </c>
      <c r="I73" s="62">
        <f t="shared" si="22"/>
        <v>0</v>
      </c>
      <c r="J73" s="62">
        <f t="shared" si="23"/>
        <v>0</v>
      </c>
      <c r="K73" s="62">
        <f t="shared" si="24"/>
        <v>0</v>
      </c>
    </row>
    <row r="74" spans="1:11" s="21" customFormat="1" ht="18.75" customHeight="1">
      <c r="A74" s="60" t="s">
        <v>57</v>
      </c>
      <c r="B74" s="61" t="s">
        <v>50</v>
      </c>
      <c r="C74" s="268" t="s">
        <v>449</v>
      </c>
      <c r="D74" s="90">
        <v>10017.96</v>
      </c>
      <c r="E74" s="90">
        <f t="shared" si="21"/>
        <v>10017.96</v>
      </c>
      <c r="F74" s="308">
        <v>0</v>
      </c>
      <c r="G74" s="62">
        <v>0</v>
      </c>
      <c r="H74" s="62">
        <v>0</v>
      </c>
      <c r="I74" s="62">
        <f t="shared" si="22"/>
        <v>0</v>
      </c>
      <c r="J74" s="62">
        <f t="shared" si="23"/>
        <v>10017.96</v>
      </c>
      <c r="K74" s="62">
        <f t="shared" si="24"/>
        <v>10017.96</v>
      </c>
    </row>
    <row r="75" spans="1:11" s="21" customFormat="1" ht="16.5" customHeight="1">
      <c r="A75" s="223" t="s">
        <v>202</v>
      </c>
      <c r="B75" s="215"/>
      <c r="C75" s="224" t="s">
        <v>86</v>
      </c>
      <c r="D75" s="208">
        <f>D68+D69+D71+D74</f>
        <v>114948.95999999999</v>
      </c>
      <c r="E75" s="208">
        <f aca="true" t="shared" si="26" ref="E75:K75">E68+E69+E71+E74</f>
        <v>114948.95999999999</v>
      </c>
      <c r="F75" s="307">
        <f t="shared" si="26"/>
        <v>30533.88</v>
      </c>
      <c r="G75" s="208">
        <f t="shared" si="26"/>
        <v>0</v>
      </c>
      <c r="H75" s="208">
        <f t="shared" si="26"/>
        <v>0</v>
      </c>
      <c r="I75" s="208">
        <f t="shared" si="26"/>
        <v>30533.88</v>
      </c>
      <c r="J75" s="208">
        <f t="shared" si="26"/>
        <v>84415.07999999999</v>
      </c>
      <c r="K75" s="208">
        <f t="shared" si="26"/>
        <v>84415.07999999999</v>
      </c>
    </row>
    <row r="76" spans="1:11" s="21" customFormat="1" ht="30" customHeight="1">
      <c r="A76" s="228" t="s">
        <v>191</v>
      </c>
      <c r="B76" s="215"/>
      <c r="C76" s="207" t="s">
        <v>190</v>
      </c>
      <c r="D76" s="208">
        <f>D75</f>
        <v>114948.95999999999</v>
      </c>
      <c r="E76" s="208">
        <f aca="true" t="shared" si="27" ref="E76:J76">E75</f>
        <v>114948.95999999999</v>
      </c>
      <c r="F76" s="208">
        <f t="shared" si="27"/>
        <v>30533.88</v>
      </c>
      <c r="G76" s="208">
        <f t="shared" si="27"/>
        <v>0</v>
      </c>
      <c r="H76" s="208">
        <f t="shared" si="27"/>
        <v>0</v>
      </c>
      <c r="I76" s="208">
        <f t="shared" si="27"/>
        <v>30533.88</v>
      </c>
      <c r="J76" s="208">
        <f t="shared" si="27"/>
        <v>84415.07999999999</v>
      </c>
      <c r="K76" s="208">
        <f>E76-F76</f>
        <v>84415.07999999999</v>
      </c>
    </row>
    <row r="77" spans="1:11" s="59" customFormat="1" ht="19.5" customHeight="1">
      <c r="A77" s="93" t="s">
        <v>162</v>
      </c>
      <c r="B77" s="70"/>
      <c r="C77" s="80" t="s">
        <v>450</v>
      </c>
      <c r="D77" s="79">
        <f aca="true" t="shared" si="28" ref="D77:K77">SUM(D78:D79)</f>
        <v>25000</v>
      </c>
      <c r="E77" s="79">
        <f t="shared" si="28"/>
        <v>25000</v>
      </c>
      <c r="F77" s="79">
        <f t="shared" si="28"/>
        <v>7485.92</v>
      </c>
      <c r="G77" s="79">
        <f t="shared" si="28"/>
        <v>0</v>
      </c>
      <c r="H77" s="79">
        <f t="shared" si="28"/>
        <v>0</v>
      </c>
      <c r="I77" s="79">
        <f t="shared" si="28"/>
        <v>7485.92</v>
      </c>
      <c r="J77" s="79">
        <f t="shared" si="28"/>
        <v>17514.08</v>
      </c>
      <c r="K77" s="79">
        <f t="shared" si="28"/>
        <v>17514.08</v>
      </c>
    </row>
    <row r="78" spans="1:11" s="21" customFormat="1" ht="16.5" customHeight="1">
      <c r="A78" s="60" t="s">
        <v>55</v>
      </c>
      <c r="B78" s="61" t="s">
        <v>50</v>
      </c>
      <c r="C78" s="268" t="s">
        <v>451</v>
      </c>
      <c r="D78" s="90">
        <v>25000</v>
      </c>
      <c r="E78" s="90">
        <f>D78</f>
        <v>25000</v>
      </c>
      <c r="F78" s="308">
        <f>7485.92</f>
        <v>7485.92</v>
      </c>
      <c r="G78" s="62">
        <v>0</v>
      </c>
      <c r="H78" s="62">
        <v>0</v>
      </c>
      <c r="I78" s="62">
        <f>SUM(F78:H78)</f>
        <v>7485.92</v>
      </c>
      <c r="J78" s="62">
        <f>D78-F78</f>
        <v>17514.08</v>
      </c>
      <c r="K78" s="62">
        <f>E78-F78</f>
        <v>17514.08</v>
      </c>
    </row>
    <row r="79" spans="1:11" s="21" customFormat="1" ht="18" customHeight="1">
      <c r="A79" s="60" t="s">
        <v>57</v>
      </c>
      <c r="B79" s="61" t="s">
        <v>50</v>
      </c>
      <c r="C79" s="268" t="s">
        <v>452</v>
      </c>
      <c r="D79" s="90"/>
      <c r="E79" s="90">
        <f>D79</f>
        <v>0</v>
      </c>
      <c r="F79" s="308"/>
      <c r="G79" s="62">
        <v>0</v>
      </c>
      <c r="H79" s="62">
        <v>0</v>
      </c>
      <c r="I79" s="62">
        <f aca="true" t="shared" si="29" ref="I79:I85">SUM(F79:H79)</f>
        <v>0</v>
      </c>
      <c r="J79" s="62">
        <f>D79-F79</f>
        <v>0</v>
      </c>
      <c r="K79" s="62">
        <f>E79-F79</f>
        <v>0</v>
      </c>
    </row>
    <row r="80" spans="1:11" s="21" customFormat="1" ht="17.25" customHeight="1">
      <c r="A80" s="228" t="s">
        <v>409</v>
      </c>
      <c r="B80" s="215"/>
      <c r="C80" s="224" t="s">
        <v>87</v>
      </c>
      <c r="D80" s="208">
        <f>D77</f>
        <v>25000</v>
      </c>
      <c r="E80" s="208">
        <f>E77</f>
        <v>25000</v>
      </c>
      <c r="F80" s="307">
        <f>F77</f>
        <v>7485.92</v>
      </c>
      <c r="G80" s="208">
        <f>G77</f>
        <v>0</v>
      </c>
      <c r="H80" s="208">
        <f>H77</f>
        <v>0</v>
      </c>
      <c r="I80" s="225">
        <f t="shared" si="29"/>
        <v>7485.92</v>
      </c>
      <c r="J80" s="208">
        <f>J77</f>
        <v>17514.08</v>
      </c>
      <c r="K80" s="208">
        <f>K77</f>
        <v>17514.08</v>
      </c>
    </row>
    <row r="81" spans="1:11" s="59" customFormat="1" ht="0.75" customHeight="1">
      <c r="A81" s="93" t="s">
        <v>131</v>
      </c>
      <c r="B81" s="88"/>
      <c r="C81" s="80" t="s">
        <v>132</v>
      </c>
      <c r="D81" s="79" t="e">
        <f>SUM(#REF!)</f>
        <v>#REF!</v>
      </c>
      <c r="E81" s="79" t="e">
        <f>SUM(#REF!)</f>
        <v>#REF!</v>
      </c>
      <c r="F81" s="310" t="e">
        <f>SUM(#REF!)</f>
        <v>#REF!</v>
      </c>
      <c r="G81" s="79" t="e">
        <f>SUM(#REF!)</f>
        <v>#REF!</v>
      </c>
      <c r="H81" s="79" t="e">
        <f>SUM(#REF!)</f>
        <v>#REF!</v>
      </c>
      <c r="I81" s="62" t="e">
        <f t="shared" si="29"/>
        <v>#REF!</v>
      </c>
      <c r="J81" s="79" t="e">
        <f>SUM(#REF!)</f>
        <v>#REF!</v>
      </c>
      <c r="K81" s="79" t="e">
        <f>SUM(#REF!)</f>
        <v>#REF!</v>
      </c>
    </row>
    <row r="82" spans="1:11" s="21" customFormat="1" ht="50.25" customHeight="1">
      <c r="A82" s="95" t="s">
        <v>193</v>
      </c>
      <c r="B82" s="61"/>
      <c r="C82" s="78" t="s">
        <v>192</v>
      </c>
      <c r="D82" s="65">
        <f>D80</f>
        <v>25000</v>
      </c>
      <c r="E82" s="65">
        <f>E77</f>
        <v>25000</v>
      </c>
      <c r="F82" s="312">
        <f>F80</f>
        <v>7485.92</v>
      </c>
      <c r="G82" s="86">
        <f>G80</f>
        <v>0</v>
      </c>
      <c r="H82" s="86">
        <f>H80</f>
        <v>0</v>
      </c>
      <c r="I82" s="62">
        <f t="shared" si="29"/>
        <v>7485.92</v>
      </c>
      <c r="J82" s="86">
        <f>D82-F82</f>
        <v>17514.08</v>
      </c>
      <c r="K82" s="86">
        <f>E82-F82</f>
        <v>17514.08</v>
      </c>
    </row>
    <row r="83" spans="1:11" s="21" customFormat="1" ht="27" customHeight="1">
      <c r="A83" s="216" t="s">
        <v>298</v>
      </c>
      <c r="B83" s="217"/>
      <c r="C83" s="210" t="s">
        <v>292</v>
      </c>
      <c r="D83" s="211">
        <f>D84</f>
        <v>55680</v>
      </c>
      <c r="E83" s="211">
        <f>E84</f>
        <v>55680</v>
      </c>
      <c r="F83" s="307">
        <f aca="true" t="shared" si="30" ref="F83:K83">F84</f>
        <v>0</v>
      </c>
      <c r="G83" s="211">
        <f t="shared" si="30"/>
        <v>0</v>
      </c>
      <c r="H83" s="211">
        <f t="shared" si="30"/>
        <v>0</v>
      </c>
      <c r="I83" s="211">
        <f t="shared" si="30"/>
        <v>0</v>
      </c>
      <c r="J83" s="211">
        <f t="shared" si="30"/>
        <v>55680</v>
      </c>
      <c r="K83" s="211">
        <f t="shared" si="30"/>
        <v>55680</v>
      </c>
    </row>
    <row r="84" spans="1:11" s="21" customFormat="1" ht="15.75" customHeight="1">
      <c r="A84" s="180" t="s">
        <v>306</v>
      </c>
      <c r="B84" s="61"/>
      <c r="C84" s="80" t="s">
        <v>453</v>
      </c>
      <c r="D84" s="65">
        <f>D85</f>
        <v>55680</v>
      </c>
      <c r="E84" s="65">
        <f aca="true" t="shared" si="31" ref="E84:K85">E85</f>
        <v>55680</v>
      </c>
      <c r="F84" s="307">
        <f t="shared" si="31"/>
        <v>0</v>
      </c>
      <c r="G84" s="65">
        <f t="shared" si="31"/>
        <v>0</v>
      </c>
      <c r="H84" s="65">
        <f t="shared" si="31"/>
        <v>0</v>
      </c>
      <c r="I84" s="65">
        <f t="shared" si="31"/>
        <v>0</v>
      </c>
      <c r="J84" s="65">
        <f t="shared" si="31"/>
        <v>55680</v>
      </c>
      <c r="K84" s="65">
        <f t="shared" si="31"/>
        <v>55680</v>
      </c>
    </row>
    <row r="85" spans="1:11" s="21" customFormat="1" ht="16.5" customHeight="1">
      <c r="A85" s="82" t="s">
        <v>374</v>
      </c>
      <c r="B85" s="61" t="s">
        <v>50</v>
      </c>
      <c r="C85" s="268" t="s">
        <v>454</v>
      </c>
      <c r="D85" s="90">
        <v>55680</v>
      </c>
      <c r="E85" s="90">
        <f>D85</f>
        <v>55680</v>
      </c>
      <c r="F85" s="309">
        <v>0</v>
      </c>
      <c r="G85" s="90">
        <f t="shared" si="31"/>
        <v>0</v>
      </c>
      <c r="H85" s="90">
        <f t="shared" si="31"/>
        <v>0</v>
      </c>
      <c r="I85" s="62">
        <f t="shared" si="29"/>
        <v>0</v>
      </c>
      <c r="J85" s="90">
        <f>D85-F85</f>
        <v>55680</v>
      </c>
      <c r="K85" s="90">
        <f>E85-F85</f>
        <v>55680</v>
      </c>
    </row>
    <row r="86" spans="1:11" s="21" customFormat="1" ht="147.75" customHeight="1">
      <c r="A86" s="93" t="s">
        <v>181</v>
      </c>
      <c r="B86" s="61"/>
      <c r="C86" s="80" t="s">
        <v>455</v>
      </c>
      <c r="D86" s="65">
        <f>SUM(D87:D89)</f>
        <v>2215116.85</v>
      </c>
      <c r="E86" s="205">
        <f aca="true" t="shared" si="32" ref="E86:K86">SUM(E87:E89)</f>
        <v>2215116.85</v>
      </c>
      <c r="F86" s="307">
        <f>F87</f>
        <v>523395.28</v>
      </c>
      <c r="G86" s="65">
        <f t="shared" si="32"/>
        <v>0</v>
      </c>
      <c r="H86" s="65">
        <f t="shared" si="32"/>
        <v>0</v>
      </c>
      <c r="I86" s="65">
        <f t="shared" si="32"/>
        <v>523395.28</v>
      </c>
      <c r="J86" s="65">
        <f t="shared" si="32"/>
        <v>1691721.57</v>
      </c>
      <c r="K86" s="65">
        <f t="shared" si="32"/>
        <v>1691721.57</v>
      </c>
    </row>
    <row r="87" spans="1:11" s="21" customFormat="1" ht="15" customHeight="1">
      <c r="A87" s="82" t="s">
        <v>54</v>
      </c>
      <c r="B87" s="61" t="s">
        <v>50</v>
      </c>
      <c r="C87" s="268" t="s">
        <v>491</v>
      </c>
      <c r="D87" s="90">
        <f>1903363+311753.85</f>
        <v>2215116.85</v>
      </c>
      <c r="E87" s="90">
        <f>D87</f>
        <v>2215116.85</v>
      </c>
      <c r="F87" s="308">
        <f>51964+64425+42950+32134+32134+35897+16067+30015.96+217808.32</f>
        <v>523395.28</v>
      </c>
      <c r="G87" s="62">
        <v>0</v>
      </c>
      <c r="H87" s="62">
        <v>0</v>
      </c>
      <c r="I87" s="62">
        <f>SUM(F87:H87)</f>
        <v>523395.28</v>
      </c>
      <c r="J87" s="62">
        <f>D87-F87</f>
        <v>1691721.57</v>
      </c>
      <c r="K87" s="62">
        <f>E87-F87</f>
        <v>1691721.57</v>
      </c>
    </row>
    <row r="88" spans="1:11" s="21" customFormat="1" ht="18.75" customHeight="1" hidden="1">
      <c r="A88" s="60" t="s">
        <v>55</v>
      </c>
      <c r="B88" s="61" t="s">
        <v>50</v>
      </c>
      <c r="C88" s="268" t="s">
        <v>311</v>
      </c>
      <c r="D88" s="90">
        <v>0</v>
      </c>
      <c r="E88" s="90">
        <f>D88</f>
        <v>0</v>
      </c>
      <c r="F88" s="308">
        <v>0</v>
      </c>
      <c r="G88" s="62">
        <v>0</v>
      </c>
      <c r="H88" s="62">
        <v>0</v>
      </c>
      <c r="I88" s="62">
        <f>SUM(F88:H88)</f>
        <v>0</v>
      </c>
      <c r="J88" s="62">
        <f>D88-F88</f>
        <v>0</v>
      </c>
      <c r="K88" s="62">
        <f>E88-F88</f>
        <v>0</v>
      </c>
    </row>
    <row r="89" spans="1:11" s="21" customFormat="1" ht="30.75" customHeight="1" hidden="1">
      <c r="A89" s="60" t="s">
        <v>57</v>
      </c>
      <c r="B89" s="61" t="s">
        <v>50</v>
      </c>
      <c r="C89" s="268" t="s">
        <v>320</v>
      </c>
      <c r="D89" s="90">
        <v>0</v>
      </c>
      <c r="E89" s="90">
        <f>D89</f>
        <v>0</v>
      </c>
      <c r="F89" s="308">
        <v>0</v>
      </c>
      <c r="G89" s="62">
        <v>0</v>
      </c>
      <c r="H89" s="62">
        <v>0</v>
      </c>
      <c r="I89" s="62">
        <f>SUM(F89:H89)</f>
        <v>0</v>
      </c>
      <c r="J89" s="62">
        <f>D89-F89</f>
        <v>0</v>
      </c>
      <c r="K89" s="62">
        <f>E89-F89</f>
        <v>0</v>
      </c>
    </row>
    <row r="90" spans="1:11" s="21" customFormat="1" ht="27.75" customHeight="1">
      <c r="A90" s="218" t="s">
        <v>182</v>
      </c>
      <c r="B90" s="217"/>
      <c r="C90" s="213" t="s">
        <v>183</v>
      </c>
      <c r="D90" s="211">
        <f>D87+D88+D89</f>
        <v>2215116.85</v>
      </c>
      <c r="E90" s="211">
        <f>E87+E88+E89</f>
        <v>2215116.85</v>
      </c>
      <c r="F90" s="307">
        <f>F86</f>
        <v>523395.28</v>
      </c>
      <c r="G90" s="211">
        <f>G87+G88</f>
        <v>0</v>
      </c>
      <c r="H90" s="211">
        <f>H87+H88</f>
        <v>0</v>
      </c>
      <c r="I90" s="211">
        <f>I87+I88</f>
        <v>523395.28</v>
      </c>
      <c r="J90" s="211">
        <f>J86</f>
        <v>1691721.57</v>
      </c>
      <c r="K90" s="211">
        <f>K86</f>
        <v>1691721.57</v>
      </c>
    </row>
    <row r="91" spans="1:11" s="21" customFormat="1" ht="27.75" customHeight="1" hidden="1">
      <c r="A91" s="94" t="s">
        <v>380</v>
      </c>
      <c r="B91" s="61"/>
      <c r="C91" s="80" t="s">
        <v>456</v>
      </c>
      <c r="D91" s="65">
        <f>D92</f>
        <v>0</v>
      </c>
      <c r="E91" s="65">
        <f aca="true" t="shared" si="33" ref="E91:K91">E92</f>
        <v>0</v>
      </c>
      <c r="F91" s="307">
        <f t="shared" si="33"/>
        <v>0</v>
      </c>
      <c r="G91" s="65">
        <f t="shared" si="33"/>
        <v>0</v>
      </c>
      <c r="H91" s="65">
        <f t="shared" si="33"/>
        <v>0</v>
      </c>
      <c r="I91" s="65">
        <f t="shared" si="33"/>
        <v>0</v>
      </c>
      <c r="J91" s="65">
        <f t="shared" si="33"/>
        <v>0</v>
      </c>
      <c r="K91" s="65">
        <f t="shared" si="33"/>
        <v>0</v>
      </c>
    </row>
    <row r="92" spans="1:11" s="21" customFormat="1" ht="17.25" customHeight="1" hidden="1">
      <c r="A92" s="60" t="s">
        <v>55</v>
      </c>
      <c r="B92" s="61"/>
      <c r="C92" s="268" t="s">
        <v>457</v>
      </c>
      <c r="D92" s="90">
        <f>50000-50000</f>
        <v>0</v>
      </c>
      <c r="E92" s="90">
        <f>D92</f>
        <v>0</v>
      </c>
      <c r="F92" s="309">
        <v>0</v>
      </c>
      <c r="G92" s="90"/>
      <c r="H92" s="90"/>
      <c r="I92" s="90"/>
      <c r="J92" s="90"/>
      <c r="K92" s="90">
        <f>E92-F92</f>
        <v>0</v>
      </c>
    </row>
    <row r="93" spans="1:11" s="21" customFormat="1" ht="27.75" customHeight="1" hidden="1">
      <c r="A93" s="218" t="s">
        <v>379</v>
      </c>
      <c r="B93" s="217"/>
      <c r="C93" s="213" t="s">
        <v>378</v>
      </c>
      <c r="D93" s="211">
        <f>D92</f>
        <v>0</v>
      </c>
      <c r="E93" s="211">
        <f aca="true" t="shared" si="34" ref="E93:K93">E92</f>
        <v>0</v>
      </c>
      <c r="F93" s="307">
        <f t="shared" si="34"/>
        <v>0</v>
      </c>
      <c r="G93" s="211">
        <f t="shared" si="34"/>
        <v>0</v>
      </c>
      <c r="H93" s="211">
        <f t="shared" si="34"/>
        <v>0</v>
      </c>
      <c r="I93" s="211">
        <f t="shared" si="34"/>
        <v>0</v>
      </c>
      <c r="J93" s="211">
        <f t="shared" si="34"/>
        <v>0</v>
      </c>
      <c r="K93" s="211">
        <f t="shared" si="34"/>
        <v>0</v>
      </c>
    </row>
    <row r="94" spans="1:11" s="21" customFormat="1" ht="22.5" customHeight="1">
      <c r="A94" s="226" t="s">
        <v>203</v>
      </c>
      <c r="B94" s="227"/>
      <c r="C94" s="207" t="s">
        <v>118</v>
      </c>
      <c r="D94" s="208">
        <f>D83+D90+D93</f>
        <v>2270796.85</v>
      </c>
      <c r="E94" s="208">
        <f aca="true" t="shared" si="35" ref="E94:K94">E83+E90+E93</f>
        <v>2270796.85</v>
      </c>
      <c r="F94" s="307">
        <f>F83+F90+F93</f>
        <v>523395.28</v>
      </c>
      <c r="G94" s="208">
        <f t="shared" si="35"/>
        <v>0</v>
      </c>
      <c r="H94" s="208">
        <f t="shared" si="35"/>
        <v>0</v>
      </c>
      <c r="I94" s="208">
        <f t="shared" si="35"/>
        <v>523395.28</v>
      </c>
      <c r="J94" s="208">
        <f t="shared" si="35"/>
        <v>1747401.57</v>
      </c>
      <c r="K94" s="208">
        <f t="shared" si="35"/>
        <v>1747401.57</v>
      </c>
    </row>
    <row r="95" spans="1:11" s="59" customFormat="1" ht="0.75" customHeight="1">
      <c r="A95" s="93" t="s">
        <v>127</v>
      </c>
      <c r="B95" s="70"/>
      <c r="C95" s="80" t="s">
        <v>128</v>
      </c>
      <c r="D95" s="79" t="e">
        <f>SUM(#REF!)</f>
        <v>#REF!</v>
      </c>
      <c r="E95" s="79" t="e">
        <f>SUM(#REF!)</f>
        <v>#REF!</v>
      </c>
      <c r="F95" s="310" t="e">
        <f>SUM(#REF!)</f>
        <v>#REF!</v>
      </c>
      <c r="G95" s="79" t="e">
        <f>SUM(#REF!)</f>
        <v>#REF!</v>
      </c>
      <c r="H95" s="79" t="e">
        <f>SUM(#REF!)</f>
        <v>#REF!</v>
      </c>
      <c r="I95" s="79" t="e">
        <f>SUM(#REF!)</f>
        <v>#REF!</v>
      </c>
      <c r="J95" s="79" t="e">
        <f>SUM(#REF!)</f>
        <v>#REF!</v>
      </c>
      <c r="K95" s="79" t="e">
        <f>SUM(#REF!)</f>
        <v>#REF!</v>
      </c>
    </row>
    <row r="96" spans="1:11" s="21" customFormat="1" ht="144" customHeight="1" hidden="1">
      <c r="A96" s="98" t="s">
        <v>177</v>
      </c>
      <c r="B96" s="61"/>
      <c r="C96" s="80" t="s">
        <v>458</v>
      </c>
      <c r="D96" s="65">
        <f aca="true" t="shared" si="36" ref="D96:K96">D97</f>
        <v>0</v>
      </c>
      <c r="E96" s="65">
        <f t="shared" si="36"/>
        <v>0</v>
      </c>
      <c r="F96" s="312">
        <f t="shared" si="36"/>
        <v>0</v>
      </c>
      <c r="G96" s="86">
        <f t="shared" si="36"/>
        <v>0</v>
      </c>
      <c r="H96" s="86">
        <f t="shared" si="36"/>
        <v>0</v>
      </c>
      <c r="I96" s="86">
        <f t="shared" si="36"/>
        <v>0</v>
      </c>
      <c r="J96" s="86">
        <f t="shared" si="36"/>
        <v>0</v>
      </c>
      <c r="K96" s="86">
        <f t="shared" si="36"/>
        <v>0</v>
      </c>
    </row>
    <row r="97" spans="1:11" s="21" customFormat="1" ht="18.75" customHeight="1" hidden="1">
      <c r="A97" s="82" t="s">
        <v>57</v>
      </c>
      <c r="B97" s="61" t="s">
        <v>50</v>
      </c>
      <c r="C97" s="268" t="s">
        <v>459</v>
      </c>
      <c r="D97" s="90"/>
      <c r="E97" s="90">
        <f>D97</f>
        <v>0</v>
      </c>
      <c r="F97" s="308"/>
      <c r="G97" s="62">
        <v>0</v>
      </c>
      <c r="H97" s="62">
        <v>0</v>
      </c>
      <c r="I97" s="62">
        <f>F97+G97+H97</f>
        <v>0</v>
      </c>
      <c r="J97" s="62">
        <f>D97-F97</f>
        <v>0</v>
      </c>
      <c r="K97" s="62">
        <f>E97-F97</f>
        <v>0</v>
      </c>
    </row>
    <row r="98" spans="1:11" s="21" customFormat="1" ht="15" customHeight="1" hidden="1">
      <c r="A98" s="223" t="s">
        <v>178</v>
      </c>
      <c r="B98" s="215"/>
      <c r="C98" s="224" t="s">
        <v>91</v>
      </c>
      <c r="D98" s="208">
        <f>D96</f>
        <v>0</v>
      </c>
      <c r="E98" s="208">
        <f>D98</f>
        <v>0</v>
      </c>
      <c r="F98" s="307">
        <f>F96</f>
        <v>0</v>
      </c>
      <c r="G98" s="208">
        <f>SUM(G96:G97)</f>
        <v>0</v>
      </c>
      <c r="H98" s="208">
        <f>SUM(H96:H97)</f>
        <v>0</v>
      </c>
      <c r="I98" s="208">
        <f>I96</f>
        <v>0</v>
      </c>
      <c r="J98" s="208">
        <f>J96</f>
        <v>0</v>
      </c>
      <c r="K98" s="208">
        <f>K96</f>
        <v>0</v>
      </c>
    </row>
    <row r="99" spans="1:11" s="59" customFormat="1" ht="33.75" customHeight="1">
      <c r="A99" s="272" t="s">
        <v>112</v>
      </c>
      <c r="B99" s="256"/>
      <c r="C99" s="257" t="s">
        <v>460</v>
      </c>
      <c r="D99" s="258">
        <f>D100+D102+D103+D104+D101+D105</f>
        <v>95023</v>
      </c>
      <c r="E99" s="258">
        <f>E100+E102+E103+E104+E101+E105</f>
        <v>95023</v>
      </c>
      <c r="F99" s="313">
        <f>F100+F102+F103+F104+F101+F105</f>
        <v>44023.82000000001</v>
      </c>
      <c r="G99" s="258">
        <f>G100+G102+G103+G104+G101</f>
        <v>0</v>
      </c>
      <c r="H99" s="258">
        <f>H100+H102+H103+H104+H101</f>
        <v>0</v>
      </c>
      <c r="I99" s="258">
        <f>I100+I102+I103+I104+I101</f>
        <v>7475</v>
      </c>
      <c r="J99" s="258">
        <f>J100+J102+J103+J104+J101</f>
        <v>525</v>
      </c>
      <c r="K99" s="258">
        <f>D99-F99</f>
        <v>50999.17999999999</v>
      </c>
    </row>
    <row r="100" spans="1:11" s="21" customFormat="1" ht="21" customHeight="1" hidden="1">
      <c r="A100" s="82" t="s">
        <v>53</v>
      </c>
      <c r="B100" s="61" t="s">
        <v>50</v>
      </c>
      <c r="C100" s="268" t="s">
        <v>312</v>
      </c>
      <c r="D100" s="90">
        <v>0</v>
      </c>
      <c r="E100" s="90">
        <f aca="true" t="shared" si="37" ref="E100:E105">D100</f>
        <v>0</v>
      </c>
      <c r="F100" s="308">
        <v>0</v>
      </c>
      <c r="G100" s="62">
        <v>0</v>
      </c>
      <c r="H100" s="62">
        <v>0</v>
      </c>
      <c r="I100" s="62">
        <f>SUM(F100:H100)</f>
        <v>0</v>
      </c>
      <c r="J100" s="62">
        <f aca="true" t="shared" si="38" ref="J100:J107">D100-F100</f>
        <v>0</v>
      </c>
      <c r="K100" s="62">
        <f aca="true" t="shared" si="39" ref="K100:K107">E100-F100</f>
        <v>0</v>
      </c>
    </row>
    <row r="101" spans="1:11" s="21" customFormat="1" ht="21" customHeight="1">
      <c r="A101" s="264" t="s">
        <v>53</v>
      </c>
      <c r="B101" s="238" t="s">
        <v>50</v>
      </c>
      <c r="C101" s="269" t="s">
        <v>461</v>
      </c>
      <c r="D101" s="273">
        <v>87023</v>
      </c>
      <c r="E101" s="273">
        <f t="shared" si="37"/>
        <v>87023</v>
      </c>
      <c r="F101" s="239">
        <f>8910.52+3876.85+2657.52+5169.14+2325.85+4537.6+3402.32+2557.15+586.15+2525.72</f>
        <v>36548.82000000001</v>
      </c>
      <c r="G101" s="239"/>
      <c r="H101" s="239"/>
      <c r="I101" s="239"/>
      <c r="J101" s="239"/>
      <c r="K101" s="239">
        <f t="shared" si="39"/>
        <v>50474.17999999999</v>
      </c>
    </row>
    <row r="102" spans="1:11" s="21" customFormat="1" ht="18" customHeight="1">
      <c r="A102" s="82" t="s">
        <v>54</v>
      </c>
      <c r="B102" s="61" t="s">
        <v>50</v>
      </c>
      <c r="C102" s="268" t="s">
        <v>462</v>
      </c>
      <c r="D102" s="90">
        <v>8000</v>
      </c>
      <c r="E102" s="90">
        <f t="shared" si="37"/>
        <v>8000</v>
      </c>
      <c r="F102" s="308">
        <f>5003+747+1725</f>
        <v>7475</v>
      </c>
      <c r="G102" s="62">
        <v>0</v>
      </c>
      <c r="H102" s="62">
        <v>0</v>
      </c>
      <c r="I102" s="62">
        <f>SUM(F102:H102)</f>
        <v>7475</v>
      </c>
      <c r="J102" s="62">
        <f t="shared" si="38"/>
        <v>525</v>
      </c>
      <c r="K102" s="62">
        <f t="shared" si="39"/>
        <v>525</v>
      </c>
    </row>
    <row r="103" spans="1:14" s="21" customFormat="1" ht="18.75" customHeight="1" hidden="1">
      <c r="A103" s="82" t="s">
        <v>55</v>
      </c>
      <c r="B103" s="61" t="s">
        <v>50</v>
      </c>
      <c r="C103" s="268" t="s">
        <v>463</v>
      </c>
      <c r="D103" s="90"/>
      <c r="E103" s="90">
        <f t="shared" si="37"/>
        <v>0</v>
      </c>
      <c r="F103" s="308"/>
      <c r="G103" s="62">
        <v>0</v>
      </c>
      <c r="H103" s="62">
        <v>0</v>
      </c>
      <c r="I103" s="62">
        <f>SUM(F103:H103)</f>
        <v>0</v>
      </c>
      <c r="J103" s="62">
        <f t="shared" si="38"/>
        <v>0</v>
      </c>
      <c r="K103" s="62">
        <f t="shared" si="39"/>
        <v>0</v>
      </c>
      <c r="N103" s="243"/>
    </row>
    <row r="104" spans="1:11" s="21" customFormat="1" ht="19.5" customHeight="1" hidden="1">
      <c r="A104" s="82" t="s">
        <v>57</v>
      </c>
      <c r="B104" s="61" t="s">
        <v>50</v>
      </c>
      <c r="C104" s="268" t="s">
        <v>464</v>
      </c>
      <c r="D104" s="90">
        <v>0</v>
      </c>
      <c r="E104" s="90">
        <f t="shared" si="37"/>
        <v>0</v>
      </c>
      <c r="F104" s="308">
        <v>0</v>
      </c>
      <c r="G104" s="62">
        <v>0</v>
      </c>
      <c r="H104" s="62">
        <v>0</v>
      </c>
      <c r="I104" s="62">
        <f>SUM(F104:H104)</f>
        <v>0</v>
      </c>
      <c r="J104" s="62">
        <f t="shared" si="38"/>
        <v>0</v>
      </c>
      <c r="K104" s="62">
        <f t="shared" si="39"/>
        <v>0</v>
      </c>
    </row>
    <row r="105" spans="1:11" s="21" customFormat="1" ht="18" customHeight="1" hidden="1">
      <c r="A105" s="60"/>
      <c r="B105" s="61" t="s">
        <v>50</v>
      </c>
      <c r="C105" s="268" t="s">
        <v>465</v>
      </c>
      <c r="D105" s="90"/>
      <c r="E105" s="90">
        <f t="shared" si="37"/>
        <v>0</v>
      </c>
      <c r="F105" s="308"/>
      <c r="G105" s="62">
        <v>0</v>
      </c>
      <c r="H105" s="62">
        <v>0</v>
      </c>
      <c r="I105" s="62">
        <f>SUM(F105:H105)</f>
        <v>0</v>
      </c>
      <c r="J105" s="62">
        <f t="shared" si="38"/>
        <v>0</v>
      </c>
      <c r="K105" s="62">
        <f t="shared" si="39"/>
        <v>0</v>
      </c>
    </row>
    <row r="106" spans="1:14" s="21" customFormat="1" ht="27" customHeight="1">
      <c r="A106" s="226" t="s">
        <v>211</v>
      </c>
      <c r="B106" s="227"/>
      <c r="C106" s="253" t="s">
        <v>466</v>
      </c>
      <c r="D106" s="208">
        <f aca="true" t="shared" si="40" ref="D106:I106">D107</f>
        <v>35000</v>
      </c>
      <c r="E106" s="208">
        <f t="shared" si="40"/>
        <v>35000</v>
      </c>
      <c r="F106" s="312">
        <f t="shared" si="40"/>
        <v>0</v>
      </c>
      <c r="G106" s="255">
        <f t="shared" si="40"/>
        <v>0</v>
      </c>
      <c r="H106" s="255">
        <f t="shared" si="40"/>
        <v>0</v>
      </c>
      <c r="I106" s="255">
        <f t="shared" si="40"/>
        <v>0</v>
      </c>
      <c r="J106" s="255">
        <f t="shared" si="38"/>
        <v>35000</v>
      </c>
      <c r="K106" s="255">
        <f t="shared" si="39"/>
        <v>35000</v>
      </c>
      <c r="N106" s="243"/>
    </row>
    <row r="107" spans="1:14" s="21" customFormat="1" ht="18" customHeight="1">
      <c r="A107" s="82" t="s">
        <v>211</v>
      </c>
      <c r="B107" s="61" t="s">
        <v>50</v>
      </c>
      <c r="C107" s="268" t="s">
        <v>467</v>
      </c>
      <c r="D107" s="90">
        <v>35000</v>
      </c>
      <c r="E107" s="90">
        <f>D107</f>
        <v>35000</v>
      </c>
      <c r="F107" s="308">
        <v>0</v>
      </c>
      <c r="G107" s="62">
        <f>F107</f>
        <v>0</v>
      </c>
      <c r="H107" s="62">
        <f>G107</f>
        <v>0</v>
      </c>
      <c r="I107" s="62">
        <f>H107</f>
        <v>0</v>
      </c>
      <c r="J107" s="62">
        <f t="shared" si="38"/>
        <v>35000</v>
      </c>
      <c r="K107" s="62">
        <f t="shared" si="39"/>
        <v>35000</v>
      </c>
      <c r="N107" s="243"/>
    </row>
    <row r="108" spans="1:11" s="21" customFormat="1" ht="29.25" customHeight="1">
      <c r="A108" s="271" t="s">
        <v>212</v>
      </c>
      <c r="B108" s="217"/>
      <c r="C108" s="220" t="s">
        <v>468</v>
      </c>
      <c r="D108" s="211">
        <f>D109+D110+D111+D112</f>
        <v>56000</v>
      </c>
      <c r="E108" s="211">
        <f>E109+E110+E111+E112</f>
        <v>56000</v>
      </c>
      <c r="F108" s="312">
        <f aca="true" t="shared" si="41" ref="F108:K108">F109+F110+F111+F112</f>
        <v>0</v>
      </c>
      <c r="G108" s="206">
        <f t="shared" si="41"/>
        <v>0</v>
      </c>
      <c r="H108" s="206">
        <f t="shared" si="41"/>
        <v>0</v>
      </c>
      <c r="I108" s="206">
        <f t="shared" si="41"/>
        <v>0</v>
      </c>
      <c r="J108" s="206">
        <f t="shared" si="41"/>
        <v>56000</v>
      </c>
      <c r="K108" s="206">
        <f t="shared" si="41"/>
        <v>56000</v>
      </c>
    </row>
    <row r="109" spans="1:11" s="21" customFormat="1" ht="21" customHeight="1">
      <c r="A109" s="82" t="s">
        <v>53</v>
      </c>
      <c r="B109" s="61"/>
      <c r="C109" s="268" t="s">
        <v>469</v>
      </c>
      <c r="D109" s="90">
        <v>3110</v>
      </c>
      <c r="E109" s="90">
        <f>D109</f>
        <v>3110</v>
      </c>
      <c r="F109" s="308"/>
      <c r="G109" s="62"/>
      <c r="H109" s="62"/>
      <c r="I109" s="62">
        <f>SUM(F109:H109)</f>
        <v>0</v>
      </c>
      <c r="J109" s="62">
        <f>D109-F109</f>
        <v>3110</v>
      </c>
      <c r="K109" s="62">
        <f>E109-F109</f>
        <v>3110</v>
      </c>
    </row>
    <row r="110" spans="1:11" s="21" customFormat="1" ht="21" customHeight="1">
      <c r="A110" s="82" t="s">
        <v>54</v>
      </c>
      <c r="B110" s="61"/>
      <c r="C110" s="268" t="s">
        <v>489</v>
      </c>
      <c r="D110" s="90">
        <v>52890</v>
      </c>
      <c r="E110" s="90">
        <f>D110</f>
        <v>52890</v>
      </c>
      <c r="F110" s="308">
        <v>0</v>
      </c>
      <c r="G110" s="62"/>
      <c r="H110" s="62"/>
      <c r="I110" s="62">
        <f>SUM(F110:H110)</f>
        <v>0</v>
      </c>
      <c r="J110" s="62">
        <f>D110-F110</f>
        <v>52890</v>
      </c>
      <c r="K110" s="62">
        <f>E110-F110</f>
        <v>52890</v>
      </c>
    </row>
    <row r="111" spans="1:11" s="21" customFormat="1" ht="21" customHeight="1" hidden="1">
      <c r="A111" s="60" t="s">
        <v>116</v>
      </c>
      <c r="B111" s="61"/>
      <c r="C111" s="268" t="s">
        <v>383</v>
      </c>
      <c r="D111" s="90">
        <v>0</v>
      </c>
      <c r="E111" s="90">
        <v>0</v>
      </c>
      <c r="F111" s="308">
        <v>0</v>
      </c>
      <c r="G111" s="62"/>
      <c r="H111" s="62"/>
      <c r="I111" s="62">
        <f>SUM(F111:H111)</f>
        <v>0</v>
      </c>
      <c r="J111" s="62">
        <f>D111-F111</f>
        <v>0</v>
      </c>
      <c r="K111" s="62">
        <f>E111-F111</f>
        <v>0</v>
      </c>
    </row>
    <row r="112" spans="1:11" s="21" customFormat="1" ht="21" customHeight="1" hidden="1">
      <c r="A112" s="82" t="s">
        <v>57</v>
      </c>
      <c r="B112" s="61"/>
      <c r="C112" s="268" t="s">
        <v>384</v>
      </c>
      <c r="D112" s="90">
        <v>0</v>
      </c>
      <c r="E112" s="90">
        <v>0</v>
      </c>
      <c r="F112" s="308">
        <v>0</v>
      </c>
      <c r="G112" s="62"/>
      <c r="H112" s="62"/>
      <c r="I112" s="62">
        <f>SUM(F112:H112)</f>
        <v>0</v>
      </c>
      <c r="J112" s="62">
        <f>D112-F112</f>
        <v>0</v>
      </c>
      <c r="K112" s="62">
        <f>E112-F112</f>
        <v>0</v>
      </c>
    </row>
    <row r="113" spans="1:11" s="21" customFormat="1" ht="19.5" customHeight="1" hidden="1">
      <c r="A113" s="96" t="s">
        <v>180</v>
      </c>
      <c r="B113" s="61"/>
      <c r="C113" s="80" t="s">
        <v>314</v>
      </c>
      <c r="D113" s="79">
        <f>SUM(D114:D115)</f>
        <v>0</v>
      </c>
      <c r="E113" s="79">
        <f aca="true" t="shared" si="42" ref="E113:K113">SUM(E114:E115)</f>
        <v>0</v>
      </c>
      <c r="F113" s="310">
        <f>F114+F115</f>
        <v>0</v>
      </c>
      <c r="G113" s="79">
        <f t="shared" si="42"/>
        <v>0</v>
      </c>
      <c r="H113" s="79">
        <f t="shared" si="42"/>
        <v>0</v>
      </c>
      <c r="I113" s="79">
        <f t="shared" si="42"/>
        <v>0</v>
      </c>
      <c r="J113" s="79">
        <f t="shared" si="42"/>
        <v>0</v>
      </c>
      <c r="K113" s="79">
        <f t="shared" si="42"/>
        <v>0</v>
      </c>
    </row>
    <row r="114" spans="1:11" s="21" customFormat="1" ht="15.75" customHeight="1" hidden="1">
      <c r="A114" s="82" t="s">
        <v>54</v>
      </c>
      <c r="B114" s="61"/>
      <c r="C114" s="268" t="s">
        <v>389</v>
      </c>
      <c r="D114" s="90">
        <v>0</v>
      </c>
      <c r="E114" s="90">
        <v>0</v>
      </c>
      <c r="F114" s="308">
        <v>0</v>
      </c>
      <c r="G114" s="62">
        <v>0</v>
      </c>
      <c r="H114" s="62">
        <v>0</v>
      </c>
      <c r="I114" s="62">
        <f>SUM(F114:H114)</f>
        <v>0</v>
      </c>
      <c r="J114" s="62">
        <f>D114-F114</f>
        <v>0</v>
      </c>
      <c r="K114" s="62">
        <f>E114-F114</f>
        <v>0</v>
      </c>
    </row>
    <row r="115" spans="1:11" s="21" customFormat="1" ht="15.75" customHeight="1" hidden="1">
      <c r="A115" s="60" t="s">
        <v>134</v>
      </c>
      <c r="B115" s="61"/>
      <c r="C115" s="268" t="s">
        <v>333</v>
      </c>
      <c r="D115" s="90">
        <v>0</v>
      </c>
      <c r="E115" s="90">
        <f>D115</f>
        <v>0</v>
      </c>
      <c r="F115" s="308">
        <v>0</v>
      </c>
      <c r="G115" s="62">
        <v>0</v>
      </c>
      <c r="H115" s="62">
        <v>0</v>
      </c>
      <c r="I115" s="62">
        <f>SUM(F115:H115)</f>
        <v>0</v>
      </c>
      <c r="J115" s="62">
        <f>D115-F115</f>
        <v>0</v>
      </c>
      <c r="K115" s="62">
        <f>E115-F115</f>
        <v>0</v>
      </c>
    </row>
    <row r="116" spans="1:11" s="21" customFormat="1" ht="45.75" customHeight="1" hidden="1">
      <c r="A116" s="316" t="s">
        <v>480</v>
      </c>
      <c r="B116" s="317"/>
      <c r="C116" s="318"/>
      <c r="D116" s="211">
        <f>D117</f>
        <v>0</v>
      </c>
      <c r="E116" s="211">
        <f aca="true" t="shared" si="43" ref="E116:J116">E117</f>
        <v>0</v>
      </c>
      <c r="F116" s="308">
        <f>F117</f>
        <v>0</v>
      </c>
      <c r="G116" s="211">
        <f t="shared" si="43"/>
        <v>0</v>
      </c>
      <c r="H116" s="211">
        <f t="shared" si="43"/>
        <v>0</v>
      </c>
      <c r="I116" s="211">
        <f t="shared" si="43"/>
        <v>0</v>
      </c>
      <c r="J116" s="211">
        <f t="shared" si="43"/>
        <v>0</v>
      </c>
      <c r="K116" s="319">
        <f>E116-F116</f>
        <v>0</v>
      </c>
    </row>
    <row r="117" spans="1:11" s="21" customFormat="1" ht="15.75" customHeight="1" hidden="1">
      <c r="A117" s="82" t="s">
        <v>55</v>
      </c>
      <c r="B117" s="61"/>
      <c r="C117" s="268" t="s">
        <v>481</v>
      </c>
      <c r="D117" s="90">
        <v>0</v>
      </c>
      <c r="E117" s="90">
        <f>D117</f>
        <v>0</v>
      </c>
      <c r="F117" s="308"/>
      <c r="G117" s="62"/>
      <c r="H117" s="62"/>
      <c r="I117" s="62"/>
      <c r="J117" s="62"/>
      <c r="K117" s="62">
        <f>E117-F117</f>
        <v>0</v>
      </c>
    </row>
    <row r="118" spans="1:11" s="21" customFormat="1" ht="22.5" customHeight="1">
      <c r="A118" s="228" t="s">
        <v>408</v>
      </c>
      <c r="B118" s="215"/>
      <c r="C118" s="224" t="s">
        <v>88</v>
      </c>
      <c r="D118" s="208">
        <f>D99+D106+D108+D98+D113+D116</f>
        <v>186023</v>
      </c>
      <c r="E118" s="208">
        <f aca="true" t="shared" si="44" ref="E118:K118">E99+E106+E108+E98+E113+E116</f>
        <v>186023</v>
      </c>
      <c r="F118" s="208">
        <f t="shared" si="44"/>
        <v>44023.82000000001</v>
      </c>
      <c r="G118" s="208">
        <f t="shared" si="44"/>
        <v>0</v>
      </c>
      <c r="H118" s="208">
        <f t="shared" si="44"/>
        <v>0</v>
      </c>
      <c r="I118" s="208">
        <f t="shared" si="44"/>
        <v>7475</v>
      </c>
      <c r="J118" s="208">
        <f t="shared" si="44"/>
        <v>91525</v>
      </c>
      <c r="K118" s="208">
        <f t="shared" si="44"/>
        <v>141999.18</v>
      </c>
    </row>
    <row r="119" spans="1:11" s="21" customFormat="1" ht="15.75" customHeight="1">
      <c r="A119" s="72" t="s">
        <v>204</v>
      </c>
      <c r="B119" s="63"/>
      <c r="C119" s="78" t="s">
        <v>102</v>
      </c>
      <c r="D119" s="65">
        <f>D118</f>
        <v>186023</v>
      </c>
      <c r="E119" s="65">
        <f aca="true" t="shared" si="45" ref="E119:K119">E118</f>
        <v>186023</v>
      </c>
      <c r="F119" s="307">
        <f t="shared" si="45"/>
        <v>44023.82000000001</v>
      </c>
      <c r="G119" s="65">
        <f t="shared" si="45"/>
        <v>0</v>
      </c>
      <c r="H119" s="65">
        <f t="shared" si="45"/>
        <v>0</v>
      </c>
      <c r="I119" s="65">
        <f t="shared" si="45"/>
        <v>7475</v>
      </c>
      <c r="J119" s="65">
        <f t="shared" si="45"/>
        <v>91525</v>
      </c>
      <c r="K119" s="65">
        <f t="shared" si="45"/>
        <v>141999.18</v>
      </c>
    </row>
    <row r="120" spans="1:11" s="21" customFormat="1" ht="24" customHeight="1">
      <c r="A120" s="222" t="s">
        <v>376</v>
      </c>
      <c r="B120" s="212"/>
      <c r="C120" s="220" t="s">
        <v>470</v>
      </c>
      <c r="D120" s="221">
        <f>D121+D122</f>
        <v>25678</v>
      </c>
      <c r="E120" s="221">
        <f aca="true" t="shared" si="46" ref="E120:J120">E121+E122</f>
        <v>25678</v>
      </c>
      <c r="F120" s="310">
        <f t="shared" si="46"/>
        <v>16915.47</v>
      </c>
      <c r="G120" s="221">
        <f t="shared" si="46"/>
        <v>0</v>
      </c>
      <c r="H120" s="221">
        <f t="shared" si="46"/>
        <v>0</v>
      </c>
      <c r="I120" s="221">
        <f t="shared" si="46"/>
        <v>16915.47</v>
      </c>
      <c r="J120" s="221">
        <f t="shared" si="46"/>
        <v>28400</v>
      </c>
      <c r="K120" s="221">
        <f>K121+K122</f>
        <v>8762.529999999999</v>
      </c>
    </row>
    <row r="121" spans="1:13" s="21" customFormat="1" ht="15.75" customHeight="1">
      <c r="A121" s="264" t="s">
        <v>53</v>
      </c>
      <c r="B121" s="240"/>
      <c r="C121" s="269" t="s">
        <v>471</v>
      </c>
      <c r="D121" s="241">
        <v>17000</v>
      </c>
      <c r="E121" s="241">
        <f>D121</f>
        <v>17000</v>
      </c>
      <c r="F121" s="241">
        <f>4517.47+1719.41+9280.59</f>
        <v>15517.470000000001</v>
      </c>
      <c r="G121" s="241">
        <v>0</v>
      </c>
      <c r="H121" s="241">
        <v>0</v>
      </c>
      <c r="I121" s="241">
        <f>F121</f>
        <v>15517.470000000001</v>
      </c>
      <c r="J121" s="241">
        <v>28400</v>
      </c>
      <c r="K121" s="241">
        <f>D121-F121</f>
        <v>1482.5299999999988</v>
      </c>
      <c r="L121" s="79">
        <v>28400</v>
      </c>
      <c r="M121" s="79">
        <v>28400</v>
      </c>
    </row>
    <row r="122" spans="1:13" s="21" customFormat="1" ht="15.75" customHeight="1">
      <c r="A122" s="82" t="s">
        <v>54</v>
      </c>
      <c r="B122" s="63"/>
      <c r="C122" s="268" t="s">
        <v>472</v>
      </c>
      <c r="D122" s="202">
        <v>8678</v>
      </c>
      <c r="E122" s="202">
        <f>D122</f>
        <v>8678</v>
      </c>
      <c r="F122" s="314">
        <f>1398</f>
        <v>1398</v>
      </c>
      <c r="G122" s="202"/>
      <c r="H122" s="202"/>
      <c r="I122" s="202">
        <f>F122</f>
        <v>1398</v>
      </c>
      <c r="J122" s="202"/>
      <c r="K122" s="202">
        <f>D122-F122</f>
        <v>7280</v>
      </c>
      <c r="L122" s="203"/>
      <c r="M122" s="203"/>
    </row>
    <row r="123" spans="1:11" s="59" customFormat="1" ht="26.25" customHeight="1">
      <c r="A123" s="320" t="s">
        <v>163</v>
      </c>
      <c r="B123" s="219"/>
      <c r="C123" s="220" t="s">
        <v>335</v>
      </c>
      <c r="D123" s="221">
        <f>D124+D125</f>
        <v>10000</v>
      </c>
      <c r="E123" s="221">
        <f aca="true" t="shared" si="47" ref="E123:J123">E124+E125</f>
        <v>10000</v>
      </c>
      <c r="F123" s="221">
        <f t="shared" si="47"/>
        <v>2500</v>
      </c>
      <c r="G123" s="221">
        <f t="shared" si="47"/>
        <v>0</v>
      </c>
      <c r="H123" s="221">
        <f t="shared" si="47"/>
        <v>0</v>
      </c>
      <c r="I123" s="221">
        <f t="shared" si="47"/>
        <v>2500</v>
      </c>
      <c r="J123" s="221" t="e">
        <f t="shared" si="47"/>
        <v>#VALUE!</v>
      </c>
      <c r="K123" s="221">
        <f>K124+K125</f>
        <v>7500</v>
      </c>
    </row>
    <row r="124" spans="1:11" s="59" customFormat="1" ht="15.75" customHeight="1" hidden="1">
      <c r="A124" s="82" t="s">
        <v>54</v>
      </c>
      <c r="B124" s="61" t="s">
        <v>50</v>
      </c>
      <c r="C124" s="268" t="s">
        <v>334</v>
      </c>
      <c r="D124" s="90">
        <v>0</v>
      </c>
      <c r="E124" s="202">
        <f>D124</f>
        <v>0</v>
      </c>
      <c r="F124" s="308">
        <v>0</v>
      </c>
      <c r="G124" s="62">
        <v>0</v>
      </c>
      <c r="H124" s="62">
        <v>0</v>
      </c>
      <c r="I124" s="62">
        <f>SUM(F124:H124)</f>
        <v>0</v>
      </c>
      <c r="J124" s="62">
        <f>D124-F124</f>
        <v>0</v>
      </c>
      <c r="K124" s="62">
        <f>E124-F124</f>
        <v>0</v>
      </c>
    </row>
    <row r="125" spans="1:11" s="59" customFormat="1" ht="15.75" customHeight="1">
      <c r="A125" s="82" t="s">
        <v>309</v>
      </c>
      <c r="B125" s="61" t="s">
        <v>50</v>
      </c>
      <c r="C125" s="268" t="s">
        <v>487</v>
      </c>
      <c r="D125" s="90">
        <v>10000</v>
      </c>
      <c r="E125" s="202">
        <f>D125</f>
        <v>10000</v>
      </c>
      <c r="F125" s="308">
        <f>2500</f>
        <v>2500</v>
      </c>
      <c r="G125" s="62">
        <v>0</v>
      </c>
      <c r="H125" s="62">
        <v>0</v>
      </c>
      <c r="I125" s="62">
        <f>SUM(F125:H125)</f>
        <v>2500</v>
      </c>
      <c r="J125" s="62" t="s">
        <v>84</v>
      </c>
      <c r="K125" s="62">
        <f>E125-F125</f>
        <v>7500</v>
      </c>
    </row>
    <row r="126" spans="1:11" s="21" customFormat="1" ht="15.75" customHeight="1">
      <c r="A126" s="91" t="s">
        <v>195</v>
      </c>
      <c r="B126" s="61"/>
      <c r="C126" s="64" t="s">
        <v>194</v>
      </c>
      <c r="D126" s="65">
        <f>D120+D123</f>
        <v>35678</v>
      </c>
      <c r="E126" s="65">
        <f aca="true" t="shared" si="48" ref="E126:K126">E120+E123</f>
        <v>35678</v>
      </c>
      <c r="F126" s="312">
        <f>F120+F123</f>
        <v>19415.47</v>
      </c>
      <c r="G126" s="86">
        <f t="shared" si="48"/>
        <v>0</v>
      </c>
      <c r="H126" s="86">
        <f t="shared" si="48"/>
        <v>0</v>
      </c>
      <c r="I126" s="86">
        <f t="shared" si="48"/>
        <v>19415.47</v>
      </c>
      <c r="J126" s="86" t="e">
        <f t="shared" si="48"/>
        <v>#VALUE!</v>
      </c>
      <c r="K126" s="86">
        <f t="shared" si="48"/>
        <v>16262.529999999999</v>
      </c>
    </row>
    <row r="127" spans="1:11" s="59" customFormat="1" ht="15.75" customHeight="1" hidden="1">
      <c r="A127" s="93" t="s">
        <v>164</v>
      </c>
      <c r="B127" s="70"/>
      <c r="C127" s="80" t="s">
        <v>299</v>
      </c>
      <c r="D127" s="79">
        <f aca="true" t="shared" si="49" ref="D127:K127">SUM(D128:D128)</f>
        <v>0</v>
      </c>
      <c r="E127" s="79">
        <f t="shared" si="49"/>
        <v>0</v>
      </c>
      <c r="F127" s="310">
        <f>F128</f>
        <v>0</v>
      </c>
      <c r="G127" s="79">
        <f t="shared" si="49"/>
        <v>0</v>
      </c>
      <c r="H127" s="79">
        <f t="shared" si="49"/>
        <v>0</v>
      </c>
      <c r="I127" s="79">
        <f t="shared" si="49"/>
        <v>0</v>
      </c>
      <c r="J127" s="79">
        <f t="shared" si="49"/>
        <v>0</v>
      </c>
      <c r="K127" s="79">
        <f t="shared" si="49"/>
        <v>0</v>
      </c>
    </row>
    <row r="128" spans="1:11" s="59" customFormat="1" ht="15.75" customHeight="1" hidden="1">
      <c r="A128" s="87" t="s">
        <v>170</v>
      </c>
      <c r="B128" s="84" t="s">
        <v>50</v>
      </c>
      <c r="C128" s="268" t="s">
        <v>300</v>
      </c>
      <c r="D128" s="90">
        <v>0</v>
      </c>
      <c r="E128" s="90">
        <f>D128</f>
        <v>0</v>
      </c>
      <c r="F128" s="308">
        <v>0</v>
      </c>
      <c r="G128" s="62">
        <v>0</v>
      </c>
      <c r="H128" s="62">
        <v>0</v>
      </c>
      <c r="I128" s="62">
        <f>SUM(F128:H128)</f>
        <v>0</v>
      </c>
      <c r="J128" s="62">
        <f>D128-F128</f>
        <v>0</v>
      </c>
      <c r="K128" s="62">
        <f>E128-F128</f>
        <v>0</v>
      </c>
    </row>
    <row r="129" spans="1:11" s="59" customFormat="1" ht="15.75" customHeight="1" hidden="1">
      <c r="A129" s="91" t="s">
        <v>197</v>
      </c>
      <c r="B129" s="84"/>
      <c r="C129" s="64" t="s">
        <v>196</v>
      </c>
      <c r="D129" s="65">
        <f>D127</f>
        <v>0</v>
      </c>
      <c r="E129" s="65">
        <f>D129</f>
        <v>0</v>
      </c>
      <c r="F129" s="312">
        <f>F127</f>
        <v>0</v>
      </c>
      <c r="G129" s="86">
        <f>G127</f>
        <v>0</v>
      </c>
      <c r="H129" s="86">
        <f>H127</f>
        <v>0</v>
      </c>
      <c r="I129" s="86">
        <f>I127</f>
        <v>0</v>
      </c>
      <c r="J129" s="86">
        <f>D129-F129</f>
        <v>0</v>
      </c>
      <c r="K129" s="86">
        <f>E129-F129</f>
        <v>0</v>
      </c>
    </row>
    <row r="130" spans="1:11" s="21" customFormat="1" ht="30.75" customHeight="1">
      <c r="A130" s="228" t="s">
        <v>407</v>
      </c>
      <c r="B130" s="215"/>
      <c r="C130" s="207" t="s">
        <v>175</v>
      </c>
      <c r="D130" s="208">
        <f>D126</f>
        <v>35678</v>
      </c>
      <c r="E130" s="208">
        <f>E126</f>
        <v>35678</v>
      </c>
      <c r="F130" s="307">
        <f>F120+F123</f>
        <v>19415.47</v>
      </c>
      <c r="G130" s="208">
        <f>G126</f>
        <v>0</v>
      </c>
      <c r="H130" s="208">
        <f>H126</f>
        <v>0</v>
      </c>
      <c r="I130" s="208">
        <f>I126</f>
        <v>19415.47</v>
      </c>
      <c r="J130" s="208" t="e">
        <f>J126</f>
        <v>#VALUE!</v>
      </c>
      <c r="K130" s="208">
        <f>K126</f>
        <v>16262.529999999999</v>
      </c>
    </row>
    <row r="131" spans="1:11" s="59" customFormat="1" ht="15.75" customHeight="1">
      <c r="A131" s="93" t="s">
        <v>165</v>
      </c>
      <c r="B131" s="70"/>
      <c r="C131" s="80" t="s">
        <v>313</v>
      </c>
      <c r="D131" s="79">
        <f>SUM(D132:D132)</f>
        <v>109414.32</v>
      </c>
      <c r="E131" s="79">
        <f aca="true" t="shared" si="50" ref="E131:K131">SUM(E132:E132)</f>
        <v>109414.32</v>
      </c>
      <c r="F131" s="310">
        <f>F132</f>
        <v>27353.58</v>
      </c>
      <c r="G131" s="79">
        <f t="shared" si="50"/>
        <v>0</v>
      </c>
      <c r="H131" s="79">
        <f t="shared" si="50"/>
        <v>0</v>
      </c>
      <c r="I131" s="79">
        <f t="shared" si="50"/>
        <v>27353.58</v>
      </c>
      <c r="J131" s="79">
        <f t="shared" si="50"/>
        <v>82060.74</v>
      </c>
      <c r="K131" s="79">
        <f t="shared" si="50"/>
        <v>82060.74</v>
      </c>
    </row>
    <row r="132" spans="1:11" s="21" customFormat="1" ht="33" customHeight="1">
      <c r="A132" s="82" t="s">
        <v>144</v>
      </c>
      <c r="B132" s="61" t="s">
        <v>50</v>
      </c>
      <c r="C132" s="268" t="s">
        <v>479</v>
      </c>
      <c r="D132" s="90">
        <v>109414.32</v>
      </c>
      <c r="E132" s="90">
        <f>D132</f>
        <v>109414.32</v>
      </c>
      <c r="F132" s="308">
        <f>4558.93+4558.93+4558.93+4558.93+4558.93+4558.93</f>
        <v>27353.58</v>
      </c>
      <c r="G132" s="62">
        <v>0</v>
      </c>
      <c r="H132" s="62">
        <v>0</v>
      </c>
      <c r="I132" s="62">
        <f>SUM(F132:H132)</f>
        <v>27353.58</v>
      </c>
      <c r="J132" s="62">
        <f>D132-F132</f>
        <v>82060.74</v>
      </c>
      <c r="K132" s="62">
        <f>E132-F132</f>
        <v>82060.74</v>
      </c>
    </row>
    <row r="133" spans="1:11" s="21" customFormat="1" ht="16.5" customHeight="1">
      <c r="A133" s="91" t="s">
        <v>100</v>
      </c>
      <c r="B133" s="63"/>
      <c r="C133" s="64" t="s">
        <v>89</v>
      </c>
      <c r="D133" s="65">
        <f aca="true" t="shared" si="51" ref="D133:K133">D132</f>
        <v>109414.32</v>
      </c>
      <c r="E133" s="65">
        <f t="shared" si="51"/>
        <v>109414.32</v>
      </c>
      <c r="F133" s="307">
        <f>F131</f>
        <v>27353.58</v>
      </c>
      <c r="G133" s="65">
        <f t="shared" si="51"/>
        <v>0</v>
      </c>
      <c r="H133" s="65">
        <f t="shared" si="51"/>
        <v>0</v>
      </c>
      <c r="I133" s="65">
        <f t="shared" si="51"/>
        <v>27353.58</v>
      </c>
      <c r="J133" s="65">
        <f t="shared" si="51"/>
        <v>82060.74</v>
      </c>
      <c r="K133" s="65">
        <f t="shared" si="51"/>
        <v>82060.74</v>
      </c>
    </row>
    <row r="134" spans="1:11" s="21" customFormat="1" ht="24.75" customHeight="1">
      <c r="A134" s="216" t="s">
        <v>206</v>
      </c>
      <c r="B134" s="216"/>
      <c r="C134" s="210" t="s">
        <v>198</v>
      </c>
      <c r="D134" s="211">
        <f>D133</f>
        <v>109414.32</v>
      </c>
      <c r="E134" s="211">
        <f>D134</f>
        <v>109414.32</v>
      </c>
      <c r="F134" s="307">
        <f>F133</f>
        <v>27353.58</v>
      </c>
      <c r="G134" s="211">
        <f>G133</f>
        <v>0</v>
      </c>
      <c r="H134" s="211">
        <f>H133</f>
        <v>0</v>
      </c>
      <c r="I134" s="211">
        <f>I133</f>
        <v>27353.58</v>
      </c>
      <c r="J134" s="211">
        <f>D134-F134</f>
        <v>82060.74</v>
      </c>
      <c r="K134" s="211">
        <f>E134-F134</f>
        <v>82060.74</v>
      </c>
    </row>
    <row r="135" spans="1:11" s="59" customFormat="1" ht="27" customHeight="1">
      <c r="A135" s="93" t="s">
        <v>213</v>
      </c>
      <c r="B135" s="61"/>
      <c r="C135" s="80" t="s">
        <v>473</v>
      </c>
      <c r="D135" s="79">
        <f>SUM(D136:D136)</f>
        <v>2000</v>
      </c>
      <c r="E135" s="79">
        <f aca="true" t="shared" si="52" ref="E135:K135">SUM(E136:E136)</f>
        <v>2000</v>
      </c>
      <c r="F135" s="310">
        <f>F136</f>
        <v>0</v>
      </c>
      <c r="G135" s="79">
        <f t="shared" si="52"/>
        <v>0</v>
      </c>
      <c r="H135" s="79">
        <f t="shared" si="52"/>
        <v>0</v>
      </c>
      <c r="I135" s="79">
        <f t="shared" si="52"/>
        <v>0</v>
      </c>
      <c r="J135" s="79">
        <f t="shared" si="52"/>
        <v>2000</v>
      </c>
      <c r="K135" s="79">
        <f t="shared" si="52"/>
        <v>2000</v>
      </c>
    </row>
    <row r="136" spans="1:11" s="21" customFormat="1" ht="27" customHeight="1">
      <c r="A136" s="87" t="s">
        <v>170</v>
      </c>
      <c r="B136" s="61" t="s">
        <v>50</v>
      </c>
      <c r="C136" s="268" t="s">
        <v>474</v>
      </c>
      <c r="D136" s="90">
        <v>2000</v>
      </c>
      <c r="E136" s="90">
        <f>D136</f>
        <v>2000</v>
      </c>
      <c r="F136" s="308">
        <v>0</v>
      </c>
      <c r="G136" s="62">
        <v>0</v>
      </c>
      <c r="H136" s="62">
        <v>0</v>
      </c>
      <c r="I136" s="62">
        <f>SUM(F136:H136)</f>
        <v>0</v>
      </c>
      <c r="J136" s="62">
        <f>D136-F136</f>
        <v>2000</v>
      </c>
      <c r="K136" s="62">
        <f>E136-F136</f>
        <v>2000</v>
      </c>
    </row>
    <row r="137" spans="1:11" s="21" customFormat="1" ht="18.75" customHeight="1">
      <c r="A137" s="91" t="s">
        <v>171</v>
      </c>
      <c r="B137" s="63"/>
      <c r="C137" s="64" t="s">
        <v>172</v>
      </c>
      <c r="D137" s="65">
        <f>D135</f>
        <v>2000</v>
      </c>
      <c r="E137" s="65">
        <f aca="true" t="shared" si="53" ref="E137:K137">E135</f>
        <v>2000</v>
      </c>
      <c r="F137" s="65">
        <f t="shared" si="53"/>
        <v>0</v>
      </c>
      <c r="G137" s="65">
        <f t="shared" si="53"/>
        <v>0</v>
      </c>
      <c r="H137" s="65">
        <f t="shared" si="53"/>
        <v>0</v>
      </c>
      <c r="I137" s="65">
        <f t="shared" si="53"/>
        <v>0</v>
      </c>
      <c r="J137" s="65">
        <f t="shared" si="53"/>
        <v>2000</v>
      </c>
      <c r="K137" s="65">
        <f t="shared" si="53"/>
        <v>2000</v>
      </c>
    </row>
    <row r="138" spans="1:11" s="21" customFormat="1" ht="25.5" customHeight="1">
      <c r="A138" s="216" t="s">
        <v>205</v>
      </c>
      <c r="B138" s="212"/>
      <c r="C138" s="210" t="s">
        <v>199</v>
      </c>
      <c r="D138" s="211">
        <f>D137</f>
        <v>2000</v>
      </c>
      <c r="E138" s="211">
        <f>D138</f>
        <v>2000</v>
      </c>
      <c r="F138" s="307">
        <f>F137</f>
        <v>0</v>
      </c>
      <c r="G138" s="211">
        <f>G137</f>
        <v>0</v>
      </c>
      <c r="H138" s="211">
        <f>H137</f>
        <v>0</v>
      </c>
      <c r="I138" s="211">
        <f>I137</f>
        <v>0</v>
      </c>
      <c r="J138" s="211">
        <f>D138-F138</f>
        <v>2000</v>
      </c>
      <c r="K138" s="211">
        <f>E138-F138</f>
        <v>2000</v>
      </c>
    </row>
    <row r="139" spans="1:11" s="21" customFormat="1" ht="3.75" customHeight="1">
      <c r="A139" s="83"/>
      <c r="B139" s="63"/>
      <c r="C139" s="64"/>
      <c r="D139" s="65"/>
      <c r="E139" s="65"/>
      <c r="F139" s="307"/>
      <c r="G139" s="65"/>
      <c r="H139" s="65"/>
      <c r="I139" s="65"/>
      <c r="J139" s="65"/>
      <c r="K139" s="65"/>
    </row>
    <row r="140" spans="1:11" s="21" customFormat="1" ht="30" customHeight="1">
      <c r="A140" s="60" t="s">
        <v>58</v>
      </c>
      <c r="B140" s="61" t="s">
        <v>59</v>
      </c>
      <c r="C140" s="268" t="s">
        <v>60</v>
      </c>
      <c r="D140" s="90">
        <f>'1. Доходы бюджета (1.12)'!D16-'2. Расходы бюджета (1.12)'!D7</f>
        <v>-837674.3200000008</v>
      </c>
      <c r="E140" s="90">
        <f>'1. Доходы бюджета (1.12)'!D16-'2. Расходы бюджета (1.12)'!E7</f>
        <v>-837449.3200000008</v>
      </c>
      <c r="F140" s="308">
        <f>'1. Доходы бюджета (1.12)'!E16-'2. Расходы бюджета (1.12)'!F7</f>
        <v>-100147.72000000009</v>
      </c>
      <c r="G140" s="62" t="e">
        <f>'1. Доходы бюджета (1.12)'!F16-'2. Расходы бюджета (1.12)'!G7</f>
        <v>#REF!</v>
      </c>
      <c r="H140" s="62" t="e">
        <f>'1. Доходы бюджета (1.12)'!G16-'2. Расходы бюджета (1.12)'!H7</f>
        <v>#REF!</v>
      </c>
      <c r="I140" s="62" t="e">
        <f>'1. Доходы бюджета (1.12)'!H16-'2. Расходы бюджета (1.12)'!I7</f>
        <v>#REF!</v>
      </c>
      <c r="J140" s="62">
        <f>D140-F140</f>
        <v>-737526.6000000007</v>
      </c>
      <c r="K140" s="62">
        <f>E140-F140</f>
        <v>-737301.6000000007</v>
      </c>
    </row>
    <row r="141" spans="3:9" s="20" customFormat="1" ht="6" customHeight="1">
      <c r="C141" s="29"/>
      <c r="D141" s="29"/>
      <c r="E141" s="29"/>
      <c r="F141" s="29"/>
      <c r="G141" s="29"/>
      <c r="H141" s="30"/>
      <c r="I141" s="29"/>
    </row>
  </sheetData>
  <sheetProtection/>
  <mergeCells count="13">
    <mergeCell ref="G4:G5"/>
    <mergeCell ref="H4:H5"/>
    <mergeCell ref="E4:E5"/>
    <mergeCell ref="I4:I5"/>
    <mergeCell ref="J4:J5"/>
    <mergeCell ref="K4:K5"/>
    <mergeCell ref="D2:E2"/>
    <mergeCell ref="A1:K1"/>
    <mergeCell ref="A4:A5"/>
    <mergeCell ref="B4:B5"/>
    <mergeCell ref="C4:C5"/>
    <mergeCell ref="D4:D5"/>
    <mergeCell ref="F4:F5"/>
  </mergeCells>
  <printOptions horizontalCentered="1"/>
  <pageMargins left="0.2362204724409449" right="0.2362204724409449" top="0" bottom="0" header="0" footer="0"/>
  <pageSetup fitToHeight="2" fitToWidth="3" horizontalDpi="600" verticalDpi="600" orientation="landscape" paperSize="9" scale="70" r:id="rId1"/>
  <headerFooter alignWithMargins="0">
    <oddHeader>&amp;L&amp;8&amp;C&amp;8&amp;R&amp;8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zoomScalePageLayoutView="0" workbookViewId="0" topLeftCell="A1">
      <selection activeCell="D16" sqref="D16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2.75390625" style="24" customWidth="1"/>
    <col min="4" max="4" width="19.125" style="24" customWidth="1"/>
    <col min="5" max="8" width="20.00390625" style="24" hidden="1" customWidth="1"/>
    <col min="9" max="11" width="20.75390625" style="24" hidden="1" customWidth="1"/>
    <col min="12" max="13" width="19.125" style="23" customWidth="1"/>
    <col min="14" max="17" width="20.75390625" style="23" hidden="1" customWidth="1"/>
    <col min="18" max="18" width="19.125" style="23" customWidth="1"/>
    <col min="19" max="19" width="19.125" style="24" customWidth="1"/>
    <col min="20" max="16384" width="9.125" style="24" customWidth="1"/>
  </cols>
  <sheetData>
    <row r="1" ht="15.75" customHeight="1"/>
    <row r="2" spans="1:19" s="14" customFormat="1" ht="15.75">
      <c r="A2" s="343" t="s">
        <v>23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19" s="14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s="14" customFormat="1" ht="15.75">
      <c r="B4" s="49"/>
      <c r="C4" s="49"/>
      <c r="D4" s="76" t="str">
        <f>'1. Доходы бюджета (1.12)'!C4</f>
        <v>на 01.05.2023 года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4" customFormat="1" ht="9" customHeight="1">
      <c r="A5" s="27"/>
      <c r="B5" s="27"/>
      <c r="C5" s="28"/>
      <c r="D5" s="5"/>
      <c r="E5" s="5"/>
      <c r="F5" s="5"/>
      <c r="G5" s="5"/>
      <c r="H5" s="5"/>
      <c r="I5" s="5"/>
      <c r="J5" s="5"/>
      <c r="K5" s="16"/>
      <c r="L5" s="17"/>
      <c r="M5" s="17"/>
      <c r="N5" s="17"/>
      <c r="O5" s="17"/>
      <c r="P5" s="17"/>
      <c r="Q5" s="17"/>
      <c r="R5" s="17"/>
      <c r="S5" s="18"/>
    </row>
    <row r="6" spans="1:19" s="14" customFormat="1" ht="63" customHeight="1">
      <c r="A6" s="350" t="s">
        <v>4</v>
      </c>
      <c r="B6" s="352" t="s">
        <v>5</v>
      </c>
      <c r="C6" s="352" t="s">
        <v>28</v>
      </c>
      <c r="D6" s="353" t="s">
        <v>29</v>
      </c>
      <c r="E6" s="353"/>
      <c r="F6" s="353"/>
      <c r="G6" s="353"/>
      <c r="H6" s="353"/>
      <c r="I6" s="353"/>
      <c r="J6" s="353"/>
      <c r="K6" s="353"/>
      <c r="L6" s="346" t="s">
        <v>15</v>
      </c>
      <c r="M6" s="346"/>
      <c r="N6" s="346"/>
      <c r="O6" s="346"/>
      <c r="P6" s="346"/>
      <c r="Q6" s="346"/>
      <c r="R6" s="346"/>
      <c r="S6" s="346"/>
    </row>
    <row r="7" spans="1:19" s="14" customFormat="1" ht="107.25" customHeight="1">
      <c r="A7" s="351"/>
      <c r="B7" s="337"/>
      <c r="C7" s="337"/>
      <c r="D7" s="50" t="s">
        <v>73</v>
      </c>
      <c r="E7" s="50" t="s">
        <v>74</v>
      </c>
      <c r="F7" s="50" t="s">
        <v>75</v>
      </c>
      <c r="G7" s="51" t="s">
        <v>76</v>
      </c>
      <c r="H7" s="51" t="s">
        <v>77</v>
      </c>
      <c r="I7" s="51" t="s">
        <v>78</v>
      </c>
      <c r="J7" s="51" t="s">
        <v>79</v>
      </c>
      <c r="K7" s="50" t="s">
        <v>80</v>
      </c>
      <c r="L7" s="50" t="s">
        <v>73</v>
      </c>
      <c r="M7" s="50" t="s">
        <v>81</v>
      </c>
      <c r="N7" s="50" t="s">
        <v>75</v>
      </c>
      <c r="O7" s="51" t="s">
        <v>76</v>
      </c>
      <c r="P7" s="51" t="s">
        <v>77</v>
      </c>
      <c r="Q7" s="51" t="s">
        <v>78</v>
      </c>
      <c r="R7" s="51" t="s">
        <v>79</v>
      </c>
      <c r="S7" s="50" t="s">
        <v>80</v>
      </c>
    </row>
    <row r="8" spans="1:19" s="19" customFormat="1" ht="15" thickBot="1">
      <c r="A8" s="12">
        <v>1</v>
      </c>
      <c r="B8" s="13">
        <v>2</v>
      </c>
      <c r="C8" s="13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19" s="20" customFormat="1" ht="36.75">
      <c r="A9" s="53" t="s">
        <v>82</v>
      </c>
      <c r="B9" s="54" t="s">
        <v>61</v>
      </c>
      <c r="C9" s="55" t="s">
        <v>62</v>
      </c>
      <c r="D9" s="56">
        <f>D12</f>
        <v>837674.3200000008</v>
      </c>
      <c r="E9" s="56">
        <f aca="true" t="shared" si="0" ref="E9:L9">E12</f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100147.72000000009</v>
      </c>
      <c r="M9" s="56">
        <f aca="true" t="shared" si="1" ref="M9:R9">M12</f>
        <v>100147.72000000009</v>
      </c>
      <c r="N9" s="56">
        <f t="shared" si="1"/>
        <v>-427354.04</v>
      </c>
      <c r="O9" s="56">
        <f t="shared" si="1"/>
        <v>-427354.04</v>
      </c>
      <c r="P9" s="56">
        <f t="shared" si="1"/>
        <v>-427354.04</v>
      </c>
      <c r="Q9" s="56">
        <f t="shared" si="1"/>
        <v>-427354.04</v>
      </c>
      <c r="R9" s="56">
        <f t="shared" si="1"/>
        <v>100147.72000000009</v>
      </c>
      <c r="S9" s="56">
        <v>0</v>
      </c>
    </row>
    <row r="10" spans="1:19" s="20" customFormat="1" ht="36.75">
      <c r="A10" s="53" t="s">
        <v>63</v>
      </c>
      <c r="B10" s="54" t="s">
        <v>64</v>
      </c>
      <c r="C10" s="55" t="s">
        <v>65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20" customFormat="1" ht="36.75">
      <c r="A11" s="53" t="s">
        <v>66</v>
      </c>
      <c r="B11" s="54" t="s">
        <v>67</v>
      </c>
      <c r="C11" s="55" t="s">
        <v>68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20" customFormat="1" ht="20.25">
      <c r="A12" s="53" t="s">
        <v>83</v>
      </c>
      <c r="B12" s="54" t="s">
        <v>69</v>
      </c>
      <c r="C12" s="55" t="s">
        <v>336</v>
      </c>
      <c r="D12" s="56">
        <f>-'2. Расходы бюджета (1.12)'!D140</f>
        <v>837674.3200000008</v>
      </c>
      <c r="E12" s="56">
        <f aca="true" t="shared" si="2" ref="E12:R12">E13+E15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>L13+L15</f>
        <v>100147.72000000009</v>
      </c>
      <c r="M12" s="56">
        <f t="shared" si="2"/>
        <v>100147.72000000009</v>
      </c>
      <c r="N12" s="56">
        <f t="shared" si="2"/>
        <v>-427354.04</v>
      </c>
      <c r="O12" s="56">
        <f t="shared" si="2"/>
        <v>-427354.04</v>
      </c>
      <c r="P12" s="56">
        <f t="shared" si="2"/>
        <v>-427354.04</v>
      </c>
      <c r="Q12" s="56">
        <f t="shared" si="2"/>
        <v>-427354.04</v>
      </c>
      <c r="R12" s="56">
        <f t="shared" si="2"/>
        <v>100147.72000000009</v>
      </c>
      <c r="S12" s="56">
        <v>0</v>
      </c>
    </row>
    <row r="13" spans="1:19" s="20" customFormat="1" ht="36.75">
      <c r="A13" s="53" t="s">
        <v>340</v>
      </c>
      <c r="B13" s="54" t="s">
        <v>70</v>
      </c>
      <c r="C13" s="55" t="s">
        <v>338</v>
      </c>
      <c r="D13" s="56">
        <f>D14</f>
        <v>-3646206.81</v>
      </c>
      <c r="E13" s="56">
        <f aca="true" t="shared" si="3" ref="E13:M13">E14</f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0</v>
      </c>
      <c r="L13" s="56">
        <f t="shared" si="3"/>
        <v>-1017734.86</v>
      </c>
      <c r="M13" s="56">
        <f t="shared" si="3"/>
        <v>-1017734.86</v>
      </c>
      <c r="N13" s="56">
        <f>N14</f>
        <v>-427354.04</v>
      </c>
      <c r="O13" s="56">
        <f>O14</f>
        <v>-427354.04</v>
      </c>
      <c r="P13" s="56">
        <f>P14</f>
        <v>-427354.04</v>
      </c>
      <c r="Q13" s="56">
        <f>Q14</f>
        <v>-427354.04</v>
      </c>
      <c r="R13" s="56">
        <f>R14</f>
        <v>-1017734.86</v>
      </c>
      <c r="S13" s="56">
        <v>0</v>
      </c>
    </row>
    <row r="14" spans="1:19" s="21" customFormat="1" ht="34.5" customHeight="1">
      <c r="A14" s="348" t="s">
        <v>339</v>
      </c>
      <c r="B14" s="349"/>
      <c r="C14" s="57" t="s">
        <v>337</v>
      </c>
      <c r="D14" s="235">
        <f>-'1. Доходы бюджета (1.12)'!D16</f>
        <v>-3646206.81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36">
        <f>-'1. Доходы бюджета (1.12)'!E16</f>
        <v>-1017734.86</v>
      </c>
      <c r="M14" s="56">
        <f>-'1. Доходы бюджета (1.12)'!E16</f>
        <v>-1017734.86</v>
      </c>
      <c r="N14" s="56">
        <f>-427354.04</f>
        <v>-427354.04</v>
      </c>
      <c r="O14" s="56">
        <f>-427354.04</f>
        <v>-427354.04</v>
      </c>
      <c r="P14" s="56">
        <f>-427354.04</f>
        <v>-427354.04</v>
      </c>
      <c r="Q14" s="56">
        <f>-427354.04</f>
        <v>-427354.04</v>
      </c>
      <c r="R14" s="56">
        <f>-'1. Доходы бюджета (1.12)'!E16</f>
        <v>-1017734.86</v>
      </c>
      <c r="S14" s="58">
        <v>0</v>
      </c>
    </row>
    <row r="15" spans="1:19" s="20" customFormat="1" ht="36.75">
      <c r="A15" s="53" t="s">
        <v>341</v>
      </c>
      <c r="B15" s="54" t="s">
        <v>71</v>
      </c>
      <c r="C15" s="55" t="s">
        <v>344</v>
      </c>
      <c r="D15" s="236">
        <f>D16</f>
        <v>4483881.130000001</v>
      </c>
      <c r="E15" s="56">
        <f aca="true" t="shared" si="4" ref="E15:L15">E16</f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236">
        <f t="shared" si="4"/>
        <v>1117882.58</v>
      </c>
      <c r="M15" s="56">
        <f aca="true" t="shared" si="5" ref="M15:R15">M16</f>
        <v>1117882.58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56">
        <f t="shared" si="5"/>
        <v>0</v>
      </c>
      <c r="R15" s="56">
        <f t="shared" si="5"/>
        <v>1117882.58</v>
      </c>
      <c r="S15" s="56">
        <v>0</v>
      </c>
    </row>
    <row r="16" spans="1:19" s="21" customFormat="1" ht="34.5" customHeight="1">
      <c r="A16" s="348" t="s">
        <v>342</v>
      </c>
      <c r="B16" s="349"/>
      <c r="C16" s="57" t="s">
        <v>343</v>
      </c>
      <c r="D16" s="58">
        <f>'2. Расходы бюджета (1.12)'!D7</f>
        <v>4483881.130000001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>'2. Расходы бюджета (1.12)'!F7</f>
        <v>1117882.58</v>
      </c>
      <c r="M16" s="58">
        <f>'2. Расходы бюджета (1.12)'!F7</f>
        <v>1117882.58</v>
      </c>
      <c r="N16" s="58">
        <v>0</v>
      </c>
      <c r="O16" s="58">
        <v>0</v>
      </c>
      <c r="P16" s="58">
        <v>0</v>
      </c>
      <c r="Q16" s="58">
        <v>0</v>
      </c>
      <c r="R16" s="58">
        <f>'2. Расходы бюджета (1.12)'!F7</f>
        <v>1117882.58</v>
      </c>
      <c r="S16" s="58">
        <v>0</v>
      </c>
    </row>
    <row r="17" spans="3:19" s="20" customFormat="1" ht="9" customHeight="1">
      <c r="C17" s="29"/>
      <c r="D17" s="29"/>
      <c r="E17" s="29">
        <v>19816.2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</row>
    <row r="18" spans="3:19" s="20" customFormat="1" ht="9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</row>
    <row r="19" spans="3:19" s="20" customFormat="1" ht="9" customHeight="1">
      <c r="C19" s="29"/>
      <c r="D19" s="29"/>
      <c r="E19" s="29">
        <v>734.4</v>
      </c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</row>
    <row r="20" spans="3:19" s="20" customFormat="1" ht="9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</row>
    <row r="21" spans="3:11" s="20" customFormat="1" ht="9" customHeight="1">
      <c r="C21" s="29"/>
      <c r="D21" s="29"/>
      <c r="E21" s="29"/>
      <c r="F21" s="29"/>
      <c r="G21" s="29"/>
      <c r="H21" s="29"/>
      <c r="I21" s="29"/>
      <c r="J21" s="29"/>
      <c r="K21" s="29"/>
    </row>
    <row r="22" spans="1:18" ht="51" customHeight="1">
      <c r="A22" s="347" t="s">
        <v>485</v>
      </c>
      <c r="B22" s="347"/>
      <c r="C22" s="347"/>
      <c r="D22" s="347"/>
      <c r="E22" s="347"/>
      <c r="F22" s="347"/>
      <c r="G22" s="347"/>
      <c r="H22" s="347"/>
      <c r="I22" s="347"/>
      <c r="J22" s="75"/>
      <c r="K22" s="22"/>
      <c r="L22" s="24"/>
      <c r="M22" s="24"/>
      <c r="N22" s="24"/>
      <c r="O22" s="24"/>
      <c r="P22" s="24"/>
      <c r="Q22" s="24"/>
      <c r="R22" s="24"/>
    </row>
    <row r="23" spans="5:18" ht="12.75">
      <c r="E23" s="24">
        <v>12.86</v>
      </c>
      <c r="L23" s="24"/>
      <c r="M23" s="24"/>
      <c r="N23" s="24"/>
      <c r="O23" s="24"/>
      <c r="P23" s="24"/>
      <c r="Q23" s="24"/>
      <c r="R23" s="24"/>
    </row>
    <row r="24" spans="12:18" ht="12.75">
      <c r="L24" s="24"/>
      <c r="M24" s="24"/>
      <c r="N24" s="24"/>
      <c r="O24" s="24"/>
      <c r="P24" s="24"/>
      <c r="Q24" s="24"/>
      <c r="R24" s="24"/>
    </row>
    <row r="25" spans="12:18" ht="12.75">
      <c r="L25" s="24"/>
      <c r="M25" s="24"/>
      <c r="N25" s="24"/>
      <c r="O25" s="24"/>
      <c r="P25" s="24"/>
      <c r="Q25" s="24"/>
      <c r="R25" s="24"/>
    </row>
    <row r="26" spans="5:18" ht="12.75">
      <c r="E26" s="24">
        <v>-132.69</v>
      </c>
      <c r="L26" s="24"/>
      <c r="M26" s="24"/>
      <c r="N26" s="24"/>
      <c r="O26" s="24"/>
      <c r="P26" s="24"/>
      <c r="Q26" s="24"/>
      <c r="R26" s="24"/>
    </row>
    <row r="27" spans="12:18" ht="12.75">
      <c r="L27" s="24"/>
      <c r="M27" s="24"/>
      <c r="N27" s="24"/>
      <c r="O27" s="24"/>
      <c r="P27" s="24"/>
      <c r="Q27" s="24"/>
      <c r="R27" s="24"/>
    </row>
    <row r="28" spans="12:18" ht="12.75">
      <c r="L28" s="24"/>
      <c r="M28" s="24"/>
      <c r="N28" s="24"/>
      <c r="O28" s="24"/>
      <c r="P28" s="24"/>
      <c r="Q28" s="24"/>
      <c r="R28" s="24"/>
    </row>
    <row r="29" ht="12.75">
      <c r="E29" s="24">
        <v>14231.2</v>
      </c>
    </row>
    <row r="30" ht="12.75">
      <c r="E30" s="24">
        <v>187400</v>
      </c>
    </row>
    <row r="31" ht="12.75">
      <c r="E31" s="24">
        <v>360000</v>
      </c>
    </row>
    <row r="32" ht="12.75">
      <c r="E32" s="24">
        <v>80500</v>
      </c>
    </row>
    <row r="37" ht="12.75">
      <c r="E37" s="24" t="s">
        <v>84</v>
      </c>
    </row>
  </sheetData>
  <sheetProtection/>
  <mergeCells count="11">
    <mergeCell ref="A2:S2"/>
    <mergeCell ref="A6:A7"/>
    <mergeCell ref="B6:B7"/>
    <mergeCell ref="C6:C7"/>
    <mergeCell ref="D6:K6"/>
    <mergeCell ref="L6:S6"/>
    <mergeCell ref="G22:I22"/>
    <mergeCell ref="A14:B14"/>
    <mergeCell ref="A16:B16"/>
    <mergeCell ref="A22:C22"/>
    <mergeCell ref="D22:F22"/>
  </mergeCells>
  <printOptions horizontalCentered="1"/>
  <pageMargins left="0.5905511811023623" right="0.3937007874015748" top="0.7874015748031497" bottom="0.5905511811023623" header="0.3937007874015748" footer="0.5118110236220472"/>
  <pageSetup fitToHeight="1000" horizontalDpi="600" verticalDpi="600" orientation="landscape" paperSize="9" scale="75" r:id="rId1"/>
  <headerFooter alignWithMargins="0">
    <oddHeader>&amp;L&amp;8&amp;C&amp;8&amp;R&amp;8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66"/>
  <sheetViews>
    <sheetView zoomScale="84" zoomScaleNormal="84" zoomScalePageLayoutView="0" workbookViewId="0" topLeftCell="A37">
      <selection activeCell="AQ34" sqref="AQ34"/>
    </sheetView>
  </sheetViews>
  <sheetFormatPr defaultColWidth="9.00390625" defaultRowHeight="12.75"/>
  <cols>
    <col min="1" max="1" width="23.875" style="174" customWidth="1"/>
    <col min="2" max="2" width="7.375" style="107" customWidth="1"/>
    <col min="3" max="3" width="6.25390625" style="107" customWidth="1"/>
    <col min="4" max="4" width="6.875" style="107" customWidth="1"/>
    <col min="5" max="5" width="19.125" style="102" customWidth="1"/>
    <col min="6" max="6" width="15.375" style="102" customWidth="1"/>
    <col min="7" max="7" width="9.875" style="102" customWidth="1"/>
    <col min="8" max="8" width="6.375" style="102" hidden="1" customWidth="1"/>
    <col min="9" max="11" width="6.625" style="102" hidden="1" customWidth="1"/>
    <col min="12" max="12" width="7.75390625" style="102" hidden="1" customWidth="1"/>
    <col min="13" max="18" width="6.625" style="102" hidden="1" customWidth="1"/>
    <col min="19" max="19" width="8.00390625" style="102" hidden="1" customWidth="1"/>
    <col min="20" max="21" width="6.625" style="102" hidden="1" customWidth="1"/>
    <col min="22" max="22" width="0.6171875" style="102" customWidth="1"/>
    <col min="23" max="23" width="14.625" style="102" customWidth="1"/>
    <col min="24" max="24" width="13.375" style="102" customWidth="1"/>
    <col min="25" max="25" width="14.25390625" style="102" customWidth="1"/>
    <col min="26" max="26" width="13.125" style="102" customWidth="1"/>
    <col min="27" max="27" width="9.625" style="102" customWidth="1"/>
    <col min="28" max="28" width="7.25390625" style="102" customWidth="1"/>
    <col min="29" max="30" width="7.75390625" style="102" hidden="1" customWidth="1"/>
    <col min="31" max="33" width="6.625" style="102" hidden="1" customWidth="1"/>
    <col min="34" max="38" width="7.125" style="102" hidden="1" customWidth="1"/>
    <col min="39" max="42" width="6.625" style="102" hidden="1" customWidth="1"/>
    <col min="43" max="43" width="20.75390625" style="102" customWidth="1"/>
    <col min="44" max="44" width="13.00390625" style="102" customWidth="1"/>
    <col min="49" max="49" width="11.875" style="0" bestFit="1" customWidth="1"/>
  </cols>
  <sheetData>
    <row r="1" spans="1:44" ht="15.75" customHeight="1">
      <c r="A1" s="100"/>
      <c r="B1" s="357"/>
      <c r="C1" s="101"/>
      <c r="D1" s="101"/>
      <c r="E1" s="101"/>
      <c r="F1" s="101"/>
      <c r="G1" s="101"/>
      <c r="H1" s="101"/>
      <c r="I1" s="101"/>
      <c r="J1" s="101"/>
      <c r="K1" s="359" t="s">
        <v>217</v>
      </c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Q1" s="103"/>
      <c r="AR1" s="103"/>
    </row>
    <row r="2" spans="1:44" ht="46.5" customHeight="1" thickBot="1">
      <c r="A2" s="100"/>
      <c r="B2" s="358"/>
      <c r="C2" s="101"/>
      <c r="D2" s="101"/>
      <c r="E2" s="101"/>
      <c r="F2" s="101"/>
      <c r="G2" s="101"/>
      <c r="H2" s="101"/>
      <c r="I2" s="101"/>
      <c r="J2" s="101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M2" s="101"/>
      <c r="AN2" s="101"/>
      <c r="AO2" s="101"/>
      <c r="AP2" s="101"/>
      <c r="AQ2" s="361" t="s">
        <v>0</v>
      </c>
      <c r="AR2" s="361"/>
    </row>
    <row r="3" spans="1:44" ht="15.75">
      <c r="A3" s="105"/>
      <c r="B3" s="358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4"/>
      <c r="U3" s="104"/>
      <c r="V3" s="104"/>
      <c r="W3" s="362"/>
      <c r="X3" s="362"/>
      <c r="Y3" s="106"/>
      <c r="Z3" s="106"/>
      <c r="AA3" s="106"/>
      <c r="AB3" s="106"/>
      <c r="AC3" s="106"/>
      <c r="AM3" s="101"/>
      <c r="AN3" s="107" t="s">
        <v>1</v>
      </c>
      <c r="AO3" s="107"/>
      <c r="AP3" s="107"/>
      <c r="AQ3" s="363" t="s">
        <v>218</v>
      </c>
      <c r="AR3" s="364"/>
    </row>
    <row r="4" spans="1:44" ht="15">
      <c r="A4" s="100"/>
      <c r="B4" s="104"/>
      <c r="C4" s="102"/>
      <c r="D4" s="102"/>
      <c r="X4" s="108" t="str">
        <f>'1. Доходы бюджета (1.12)'!C4</f>
        <v>на 01.05.2023 года</v>
      </c>
      <c r="AN4" s="107" t="s">
        <v>2</v>
      </c>
      <c r="AO4" s="107"/>
      <c r="AP4" s="107"/>
      <c r="AQ4" s="355" t="str">
        <f>X4</f>
        <v>на 01.05.2023 года</v>
      </c>
      <c r="AR4" s="356"/>
    </row>
    <row r="5" spans="1:44" ht="15">
      <c r="A5" s="100" t="s">
        <v>219</v>
      </c>
      <c r="B5" s="109"/>
      <c r="C5" s="106"/>
      <c r="D5" s="106"/>
      <c r="E5" s="201"/>
      <c r="F5" s="201"/>
      <c r="G5" s="201" t="s">
        <v>369</v>
      </c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365" t="s">
        <v>220</v>
      </c>
      <c r="AA5" s="365"/>
      <c r="AB5" s="365"/>
      <c r="AC5" s="103"/>
      <c r="AD5" s="103"/>
      <c r="AE5" s="103"/>
      <c r="AF5" s="103"/>
      <c r="AG5" s="103"/>
      <c r="AN5" s="107" t="s">
        <v>220</v>
      </c>
      <c r="AO5" s="107"/>
      <c r="AP5" s="107"/>
      <c r="AQ5" s="355">
        <v>78612856</v>
      </c>
      <c r="AR5" s="356"/>
    </row>
    <row r="6" spans="1:44" ht="15">
      <c r="A6" s="100" t="s">
        <v>221</v>
      </c>
      <c r="B6" s="109"/>
      <c r="C6" s="106"/>
      <c r="D6" s="106"/>
      <c r="E6" s="201" t="s">
        <v>370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AA6" s="365" t="s">
        <v>222</v>
      </c>
      <c r="AB6" s="365"/>
      <c r="AC6" s="110"/>
      <c r="AD6" s="110"/>
      <c r="AE6" s="110"/>
      <c r="AF6" s="110"/>
      <c r="AG6" s="110"/>
      <c r="AN6" s="107" t="s">
        <v>223</v>
      </c>
      <c r="AO6" s="107"/>
      <c r="AP6" s="107"/>
      <c r="AQ6" s="355">
        <v>15626432</v>
      </c>
      <c r="AR6" s="356"/>
    </row>
    <row r="7" spans="1:44" ht="12.75">
      <c r="A7" s="100" t="s">
        <v>224</v>
      </c>
      <c r="B7" s="109"/>
      <c r="C7" s="102"/>
      <c r="D7" s="102"/>
      <c r="T7" s="104"/>
      <c r="U7" s="104"/>
      <c r="V7" s="104"/>
      <c r="W7" s="354"/>
      <c r="X7" s="354"/>
      <c r="Y7" s="106"/>
      <c r="Z7" s="106"/>
      <c r="AA7" s="106"/>
      <c r="AB7" s="106"/>
      <c r="AC7" s="106"/>
      <c r="AN7" s="107"/>
      <c r="AO7" s="107"/>
      <c r="AP7" s="107"/>
      <c r="AQ7" s="355"/>
      <c r="AR7" s="356"/>
    </row>
    <row r="8" spans="1:44" ht="13.5" thickBot="1">
      <c r="A8" s="100" t="s">
        <v>225</v>
      </c>
      <c r="B8" s="109"/>
      <c r="C8" s="102"/>
      <c r="D8" s="102"/>
      <c r="T8" s="104"/>
      <c r="U8" s="104"/>
      <c r="V8" s="104"/>
      <c r="W8" s="354"/>
      <c r="X8" s="354"/>
      <c r="Y8" s="106"/>
      <c r="Z8" s="365" t="s">
        <v>3</v>
      </c>
      <c r="AA8" s="365"/>
      <c r="AB8" s="365"/>
      <c r="AC8" s="106"/>
      <c r="AN8" s="107" t="s">
        <v>3</v>
      </c>
      <c r="AO8" s="107"/>
      <c r="AP8" s="107"/>
      <c r="AQ8" s="379">
        <v>383</v>
      </c>
      <c r="AR8" s="380"/>
    </row>
    <row r="9" spans="1:44" ht="12.75">
      <c r="A9" s="111"/>
      <c r="B9" s="112"/>
      <c r="C9" s="103"/>
      <c r="D9" s="106"/>
      <c r="T9" s="103"/>
      <c r="U9" s="103"/>
      <c r="V9" s="103"/>
      <c r="W9" s="103"/>
      <c r="X9" s="103"/>
      <c r="Y9" s="103"/>
      <c r="Z9" s="106"/>
      <c r="AA9" s="106"/>
      <c r="AB9" s="106"/>
      <c r="AC9" s="106"/>
      <c r="AR9" s="106"/>
    </row>
    <row r="10" spans="1:44" ht="15">
      <c r="A10" s="371" t="s">
        <v>226</v>
      </c>
      <c r="B10" s="381" t="s">
        <v>5</v>
      </c>
      <c r="C10" s="384" t="s">
        <v>227</v>
      </c>
      <c r="D10" s="384"/>
      <c r="E10" s="374" t="s">
        <v>228</v>
      </c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6"/>
      <c r="Y10" s="374" t="s">
        <v>15</v>
      </c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6"/>
    </row>
    <row r="11" spans="1:44" ht="12.75">
      <c r="A11" s="372"/>
      <c r="B11" s="382"/>
      <c r="C11" s="385"/>
      <c r="D11" s="385"/>
      <c r="E11" s="366" t="s">
        <v>229</v>
      </c>
      <c r="F11" s="377"/>
      <c r="G11" s="366" t="s">
        <v>230</v>
      </c>
      <c r="H11" s="378"/>
      <c r="I11" s="366" t="s">
        <v>75</v>
      </c>
      <c r="J11" s="367"/>
      <c r="K11" s="368" t="s">
        <v>231</v>
      </c>
      <c r="L11" s="369"/>
      <c r="M11" s="368" t="s">
        <v>77</v>
      </c>
      <c r="N11" s="369"/>
      <c r="O11" s="368" t="s">
        <v>232</v>
      </c>
      <c r="P11" s="369"/>
      <c r="Q11" s="368" t="s">
        <v>233</v>
      </c>
      <c r="R11" s="370"/>
      <c r="S11" s="368" t="s">
        <v>78</v>
      </c>
      <c r="T11" s="369"/>
      <c r="U11" s="368" t="s">
        <v>234</v>
      </c>
      <c r="V11" s="369"/>
      <c r="W11" s="368" t="s">
        <v>235</v>
      </c>
      <c r="X11" s="369"/>
      <c r="Y11" s="366" t="s">
        <v>229</v>
      </c>
      <c r="Z11" s="377"/>
      <c r="AA11" s="366" t="s">
        <v>230</v>
      </c>
      <c r="AB11" s="378"/>
      <c r="AC11" s="366" t="s">
        <v>75</v>
      </c>
      <c r="AD11" s="367"/>
      <c r="AE11" s="368" t="s">
        <v>231</v>
      </c>
      <c r="AF11" s="369"/>
      <c r="AG11" s="368" t="s">
        <v>77</v>
      </c>
      <c r="AH11" s="369"/>
      <c r="AI11" s="368" t="s">
        <v>232</v>
      </c>
      <c r="AJ11" s="369"/>
      <c r="AK11" s="368" t="s">
        <v>233</v>
      </c>
      <c r="AL11" s="370"/>
      <c r="AM11" s="368" t="s">
        <v>78</v>
      </c>
      <c r="AN11" s="369"/>
      <c r="AO11" s="368" t="s">
        <v>234</v>
      </c>
      <c r="AP11" s="369"/>
      <c r="AQ11" s="368" t="s">
        <v>235</v>
      </c>
      <c r="AR11" s="369"/>
    </row>
    <row r="12" spans="1:44" ht="113.25" customHeight="1">
      <c r="A12" s="373"/>
      <c r="B12" s="383"/>
      <c r="C12" s="114" t="s">
        <v>236</v>
      </c>
      <c r="D12" s="114" t="s">
        <v>237</v>
      </c>
      <c r="E12" s="115" t="s">
        <v>238</v>
      </c>
      <c r="F12" s="116" t="s">
        <v>239</v>
      </c>
      <c r="G12" s="115" t="s">
        <v>238</v>
      </c>
      <c r="H12" s="116" t="s">
        <v>239</v>
      </c>
      <c r="I12" s="115" t="s">
        <v>238</v>
      </c>
      <c r="J12" s="116" t="s">
        <v>239</v>
      </c>
      <c r="K12" s="115" t="s">
        <v>238</v>
      </c>
      <c r="L12" s="116" t="s">
        <v>239</v>
      </c>
      <c r="M12" s="115" t="s">
        <v>238</v>
      </c>
      <c r="N12" s="116" t="s">
        <v>239</v>
      </c>
      <c r="O12" s="115" t="s">
        <v>238</v>
      </c>
      <c r="P12" s="116" t="s">
        <v>239</v>
      </c>
      <c r="Q12" s="115" t="s">
        <v>238</v>
      </c>
      <c r="R12" s="113" t="s">
        <v>239</v>
      </c>
      <c r="S12" s="115" t="s">
        <v>238</v>
      </c>
      <c r="T12" s="116" t="s">
        <v>239</v>
      </c>
      <c r="U12" s="115" t="s">
        <v>238</v>
      </c>
      <c r="V12" s="116" t="s">
        <v>239</v>
      </c>
      <c r="W12" s="115" t="s">
        <v>238</v>
      </c>
      <c r="X12" s="116" t="s">
        <v>239</v>
      </c>
      <c r="Y12" s="115" t="s">
        <v>238</v>
      </c>
      <c r="Z12" s="116" t="s">
        <v>239</v>
      </c>
      <c r="AA12" s="115" t="s">
        <v>238</v>
      </c>
      <c r="AB12" s="116" t="s">
        <v>239</v>
      </c>
      <c r="AC12" s="115" t="s">
        <v>238</v>
      </c>
      <c r="AD12" s="116" t="s">
        <v>239</v>
      </c>
      <c r="AE12" s="115" t="s">
        <v>238</v>
      </c>
      <c r="AF12" s="116" t="s">
        <v>239</v>
      </c>
      <c r="AG12" s="115" t="s">
        <v>238</v>
      </c>
      <c r="AH12" s="116" t="s">
        <v>239</v>
      </c>
      <c r="AI12" s="115" t="s">
        <v>238</v>
      </c>
      <c r="AJ12" s="116" t="s">
        <v>239</v>
      </c>
      <c r="AK12" s="115" t="s">
        <v>238</v>
      </c>
      <c r="AL12" s="113" t="s">
        <v>239</v>
      </c>
      <c r="AM12" s="115" t="s">
        <v>238</v>
      </c>
      <c r="AN12" s="116" t="s">
        <v>239</v>
      </c>
      <c r="AO12" s="115" t="s">
        <v>238</v>
      </c>
      <c r="AP12" s="116" t="s">
        <v>239</v>
      </c>
      <c r="AQ12" s="115" t="s">
        <v>238</v>
      </c>
      <c r="AR12" s="116" t="s">
        <v>239</v>
      </c>
    </row>
    <row r="13" spans="1:44" ht="12.75">
      <c r="A13" s="117">
        <v>1</v>
      </c>
      <c r="B13" s="118">
        <v>2</v>
      </c>
      <c r="C13" s="118">
        <v>3</v>
      </c>
      <c r="D13" s="118">
        <v>4</v>
      </c>
      <c r="E13" s="118">
        <v>5</v>
      </c>
      <c r="F13" s="118">
        <v>6</v>
      </c>
      <c r="G13" s="118">
        <v>7</v>
      </c>
      <c r="H13" s="118">
        <v>8</v>
      </c>
      <c r="I13" s="118">
        <v>9</v>
      </c>
      <c r="J13" s="118">
        <v>10</v>
      </c>
      <c r="K13" s="118">
        <v>11</v>
      </c>
      <c r="L13" s="118">
        <v>12</v>
      </c>
      <c r="M13" s="118">
        <v>13</v>
      </c>
      <c r="N13" s="118">
        <v>14</v>
      </c>
      <c r="O13" s="118">
        <v>15</v>
      </c>
      <c r="P13" s="118">
        <v>16</v>
      </c>
      <c r="Q13" s="118">
        <v>17</v>
      </c>
      <c r="R13" s="118">
        <v>18</v>
      </c>
      <c r="S13" s="118">
        <v>19</v>
      </c>
      <c r="T13" s="118">
        <v>20</v>
      </c>
      <c r="U13" s="118">
        <v>21</v>
      </c>
      <c r="V13" s="118">
        <v>22</v>
      </c>
      <c r="W13" s="118">
        <v>23</v>
      </c>
      <c r="X13" s="118">
        <v>24</v>
      </c>
      <c r="Y13" s="118">
        <v>25</v>
      </c>
      <c r="Z13" s="118">
        <v>26</v>
      </c>
      <c r="AA13" s="118">
        <v>27</v>
      </c>
      <c r="AB13" s="118">
        <v>28</v>
      </c>
      <c r="AC13" s="118">
        <v>29</v>
      </c>
      <c r="AD13" s="118">
        <v>30</v>
      </c>
      <c r="AE13" s="118">
        <v>31</v>
      </c>
      <c r="AF13" s="118">
        <v>32</v>
      </c>
      <c r="AG13" s="118">
        <v>33</v>
      </c>
      <c r="AH13" s="118">
        <v>34</v>
      </c>
      <c r="AI13" s="118">
        <v>35</v>
      </c>
      <c r="AJ13" s="118">
        <v>36</v>
      </c>
      <c r="AK13" s="118">
        <v>37</v>
      </c>
      <c r="AL13" s="118">
        <v>38</v>
      </c>
      <c r="AM13" s="118">
        <v>39</v>
      </c>
      <c r="AN13" s="118">
        <v>40</v>
      </c>
      <c r="AO13" s="118">
        <v>41</v>
      </c>
      <c r="AP13" s="118">
        <v>42</v>
      </c>
      <c r="AQ13" s="118">
        <v>43</v>
      </c>
      <c r="AR13" s="118">
        <v>44</v>
      </c>
    </row>
    <row r="14" spans="1:44" ht="15.75">
      <c r="A14" s="389" t="s">
        <v>240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90"/>
    </row>
    <row r="15" spans="1:44" ht="51">
      <c r="A15" s="119" t="s">
        <v>248</v>
      </c>
      <c r="B15" s="120" t="s">
        <v>249</v>
      </c>
      <c r="C15" s="120" t="s">
        <v>241</v>
      </c>
      <c r="D15" s="121" t="s">
        <v>242</v>
      </c>
      <c r="E15" s="122">
        <f>W15-G15</f>
        <v>1820943.96</v>
      </c>
      <c r="F15" s="123">
        <f>X15</f>
        <v>114948.95999999999</v>
      </c>
      <c r="G15" s="123"/>
      <c r="H15" s="124"/>
      <c r="I15" s="124" t="s">
        <v>243</v>
      </c>
      <c r="J15" s="124" t="s">
        <v>243</v>
      </c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3">
        <f>+'2. Расходы бюджета (1.12)'!D38+'2. Расходы бюджета (1.12)'!D67-'2. Расходы бюджета (1.12)'!D33-'2. Расходы бюджета (1.12)'!D37</f>
        <v>1820943.96</v>
      </c>
      <c r="X15" s="123">
        <f>'2. Расходы бюджета (1.12)'!E76</f>
        <v>114948.95999999999</v>
      </c>
      <c r="Y15" s="123">
        <f>AQ15-AA15</f>
        <v>488839.85</v>
      </c>
      <c r="Z15" s="123">
        <f>AR15</f>
        <v>30533.88</v>
      </c>
      <c r="AA15" s="123"/>
      <c r="AB15" s="123"/>
      <c r="AC15" s="123" t="s">
        <v>243</v>
      </c>
      <c r="AD15" s="123" t="s">
        <v>243</v>
      </c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>
        <f>'2. Расходы бюджета (1.12)'!F38+'2. Расходы бюджета (1.12)'!F75-'2. Расходы бюджета (1.12)'!F33-'2. Расходы бюджета (1.12)'!F37</f>
        <v>488839.85</v>
      </c>
      <c r="AR15" s="123">
        <f>'2. Расходы бюджета (1.12)'!F67</f>
        <v>30533.88</v>
      </c>
    </row>
    <row r="16" spans="1:44" ht="18">
      <c r="A16" s="125" t="s">
        <v>244</v>
      </c>
      <c r="B16" s="126"/>
      <c r="C16" s="127"/>
      <c r="D16" s="127"/>
      <c r="E16" s="128"/>
      <c r="F16" s="129"/>
      <c r="G16" s="129"/>
      <c r="H16" s="129"/>
      <c r="I16" s="130"/>
      <c r="J16" s="130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30"/>
      <c r="AD16" s="130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31"/>
    </row>
    <row r="17" spans="1:44" ht="38.25">
      <c r="A17" s="132" t="s">
        <v>250</v>
      </c>
      <c r="B17" s="133" t="s">
        <v>251</v>
      </c>
      <c r="C17" s="133" t="s">
        <v>241</v>
      </c>
      <c r="D17" s="133" t="s">
        <v>246</v>
      </c>
      <c r="E17" s="134">
        <f aca="true" t="shared" si="0" ref="E17:F19">W17</f>
        <v>901955</v>
      </c>
      <c r="F17" s="135">
        <f t="shared" si="0"/>
        <v>80592</v>
      </c>
      <c r="G17" s="135"/>
      <c r="H17" s="135"/>
      <c r="I17" s="135" t="s">
        <v>243</v>
      </c>
      <c r="J17" s="135" t="s">
        <v>243</v>
      </c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>
        <f>++'2. Расходы бюджета (1.12)'!D9+'2. Расходы бюджета (1.12)'!E13+'2. Расходы бюджета (1.12)'!E68+'2. Расходы бюджета (1.12)'!D14+'2. Расходы бюджета (1.12)'!D69+'2. Расходы бюджета (1.12)'!D10</f>
        <v>901955</v>
      </c>
      <c r="X17" s="135">
        <f>'2. Расходы бюджета (1.12)'!D68+'2. Расходы бюджета (1.12)'!D69</f>
        <v>80592</v>
      </c>
      <c r="Y17" s="135">
        <f aca="true" t="shared" si="1" ref="Y17:Z19">AQ17</f>
        <v>247855.34999999998</v>
      </c>
      <c r="Z17" s="135">
        <f t="shared" si="1"/>
        <v>24412.64</v>
      </c>
      <c r="AA17" s="135"/>
      <c r="AB17" s="135"/>
      <c r="AC17" s="135" t="s">
        <v>243</v>
      </c>
      <c r="AD17" s="135" t="s">
        <v>243</v>
      </c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>
        <f>'2. Расходы бюджета (1.12)'!F9+'2. Расходы бюджета (1.12)'!F13+'2. Расходы бюджета (1.12)'!F14+'2. Расходы бюджета (1.12)'!F68+'2. Расходы бюджета (1.12)'!F69+'2. Расходы бюджета (1.12)'!F10</f>
        <v>247855.34999999998</v>
      </c>
      <c r="AR17" s="135">
        <f>'2. Расходы бюджета (1.12)'!F68+'2. Расходы бюджета (1.12)'!F69</f>
        <v>24412.64</v>
      </c>
    </row>
    <row r="18" spans="1:44" ht="114.75">
      <c r="A18" s="136" t="s">
        <v>252</v>
      </c>
      <c r="B18" s="137" t="s">
        <v>253</v>
      </c>
      <c r="C18" s="137" t="s">
        <v>241</v>
      </c>
      <c r="D18" s="137" t="s">
        <v>247</v>
      </c>
      <c r="E18" s="134">
        <f t="shared" si="0"/>
        <v>272391</v>
      </c>
      <c r="F18" s="135">
        <f t="shared" si="0"/>
        <v>24339</v>
      </c>
      <c r="G18" s="135"/>
      <c r="H18" s="135"/>
      <c r="I18" s="135" t="s">
        <v>243</v>
      </c>
      <c r="J18" s="135" t="s">
        <v>243</v>
      </c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>
        <f>'2. Расходы бюджета (1.12)'!D11+'2. Расходы бюджета (1.12)'!E16+'2. Расходы бюджета (1.12)'!E71</f>
        <v>272391</v>
      </c>
      <c r="X18" s="135">
        <f>'2. Расходы бюджета (1.12)'!D71</f>
        <v>24339</v>
      </c>
      <c r="Y18" s="135">
        <f t="shared" si="1"/>
        <v>60493.24</v>
      </c>
      <c r="Z18" s="135">
        <f t="shared" si="1"/>
        <v>6121.240000000001</v>
      </c>
      <c r="AA18" s="135"/>
      <c r="AB18" s="135"/>
      <c r="AC18" s="135" t="s">
        <v>243</v>
      </c>
      <c r="AD18" s="135" t="s">
        <v>243</v>
      </c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>
        <f>+'2. Расходы бюджета (1.12)'!F11+'2. Расходы бюджета (1.12)'!F16+'2. Расходы бюджета (1.12)'!F71</f>
        <v>60493.24</v>
      </c>
      <c r="AR18" s="135">
        <f>'2. Расходы бюджета (1.12)'!F71</f>
        <v>6121.240000000001</v>
      </c>
    </row>
    <row r="19" spans="1:44" ht="127.5">
      <c r="A19" s="138" t="s">
        <v>254</v>
      </c>
      <c r="B19" s="139" t="s">
        <v>255</v>
      </c>
      <c r="C19" s="139" t="s">
        <v>241</v>
      </c>
      <c r="D19" s="139" t="s">
        <v>242</v>
      </c>
      <c r="E19" s="140">
        <f t="shared" si="0"/>
        <v>114948.95999999999</v>
      </c>
      <c r="F19" s="141">
        <f t="shared" si="0"/>
        <v>114948.95999999999</v>
      </c>
      <c r="G19" s="141"/>
      <c r="H19" s="141"/>
      <c r="I19" s="141" t="s">
        <v>243</v>
      </c>
      <c r="J19" s="141" t="s">
        <v>243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>
        <f>X19</f>
        <v>114948.95999999999</v>
      </c>
      <c r="X19" s="141">
        <f>X15</f>
        <v>114948.95999999999</v>
      </c>
      <c r="Y19" s="141">
        <f t="shared" si="1"/>
        <v>30533.88</v>
      </c>
      <c r="Z19" s="141">
        <f t="shared" si="1"/>
        <v>30533.88</v>
      </c>
      <c r="AA19" s="141"/>
      <c r="AB19" s="141"/>
      <c r="AC19" s="141" t="s">
        <v>243</v>
      </c>
      <c r="AD19" s="141" t="s">
        <v>243</v>
      </c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>
        <f>AR15</f>
        <v>30533.88</v>
      </c>
      <c r="AR19" s="141">
        <f>AQ19</f>
        <v>30533.88</v>
      </c>
    </row>
    <row r="20" spans="1:44" ht="18">
      <c r="A20" s="125" t="s">
        <v>244</v>
      </c>
      <c r="B20" s="142"/>
      <c r="C20" s="143"/>
      <c r="D20" s="143"/>
      <c r="E20" s="128"/>
      <c r="F20" s="129"/>
      <c r="G20" s="129"/>
      <c r="H20" s="129"/>
      <c r="I20" s="130"/>
      <c r="J20" s="130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30"/>
      <c r="AD20" s="130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31"/>
    </row>
    <row r="21" spans="1:44" ht="38.25">
      <c r="A21" s="132" t="s">
        <v>256</v>
      </c>
      <c r="B21" s="144" t="s">
        <v>257</v>
      </c>
      <c r="C21" s="133" t="s">
        <v>241</v>
      </c>
      <c r="D21" s="133" t="s">
        <v>246</v>
      </c>
      <c r="E21" s="134">
        <f aca="true" t="shared" si="2" ref="E21:F23">W21</f>
        <v>80592</v>
      </c>
      <c r="F21" s="135">
        <f>X21</f>
        <v>80592</v>
      </c>
      <c r="G21" s="135"/>
      <c r="H21" s="135"/>
      <c r="I21" s="135" t="s">
        <v>243</v>
      </c>
      <c r="J21" s="135" t="s">
        <v>243</v>
      </c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>
        <f>X21</f>
        <v>80592</v>
      </c>
      <c r="X21" s="135">
        <f>'2. Расходы бюджета (1.12)'!E68+'2. Расходы бюджета (1.12)'!E69</f>
        <v>80592</v>
      </c>
      <c r="Y21" s="135">
        <f aca="true" t="shared" si="3" ref="Y21:Z26">AQ21</f>
        <v>24412.64</v>
      </c>
      <c r="Z21" s="135">
        <f t="shared" si="3"/>
        <v>24412.64</v>
      </c>
      <c r="AA21" s="135"/>
      <c r="AB21" s="135"/>
      <c r="AC21" s="135" t="s">
        <v>243</v>
      </c>
      <c r="AD21" s="135" t="s">
        <v>243</v>
      </c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>
        <f>AR21</f>
        <v>24412.64</v>
      </c>
      <c r="AR21" s="135">
        <f>AR17</f>
        <v>24412.64</v>
      </c>
    </row>
    <row r="22" spans="1:44" ht="114.75">
      <c r="A22" s="145" t="s">
        <v>258</v>
      </c>
      <c r="B22" s="146" t="s">
        <v>259</v>
      </c>
      <c r="C22" s="146" t="s">
        <v>241</v>
      </c>
      <c r="D22" s="146" t="s">
        <v>247</v>
      </c>
      <c r="E22" s="134">
        <f t="shared" si="2"/>
        <v>24339</v>
      </c>
      <c r="F22" s="134">
        <f t="shared" si="2"/>
        <v>24339</v>
      </c>
      <c r="G22" s="134"/>
      <c r="H22" s="134"/>
      <c r="I22" s="134" t="s">
        <v>243</v>
      </c>
      <c r="J22" s="134" t="s">
        <v>243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5">
        <f>X22</f>
        <v>24339</v>
      </c>
      <c r="X22" s="135">
        <f>'2. Расходы бюджета (1.12)'!E71</f>
        <v>24339</v>
      </c>
      <c r="Y22" s="135">
        <f t="shared" si="3"/>
        <v>6121.240000000001</v>
      </c>
      <c r="Z22" s="135">
        <f t="shared" si="3"/>
        <v>6121.240000000001</v>
      </c>
      <c r="AA22" s="135"/>
      <c r="AB22" s="135"/>
      <c r="AC22" s="135" t="s">
        <v>243</v>
      </c>
      <c r="AD22" s="135" t="s">
        <v>243</v>
      </c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>
        <f>AR22</f>
        <v>6121.240000000001</v>
      </c>
      <c r="AR22" s="135">
        <f>AR18</f>
        <v>6121.240000000001</v>
      </c>
    </row>
    <row r="23" spans="1:44" ht="76.5">
      <c r="A23" s="138" t="s">
        <v>261</v>
      </c>
      <c r="B23" s="139" t="s">
        <v>262</v>
      </c>
      <c r="C23" s="139" t="s">
        <v>263</v>
      </c>
      <c r="D23" s="139" t="s">
        <v>242</v>
      </c>
      <c r="E23" s="140">
        <f t="shared" si="2"/>
        <v>114948.95999999999</v>
      </c>
      <c r="F23" s="140">
        <f t="shared" si="2"/>
        <v>114948.95999999999</v>
      </c>
      <c r="G23" s="115" t="s">
        <v>243</v>
      </c>
      <c r="H23" s="115" t="s">
        <v>243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41">
        <f>X23</f>
        <v>114948.95999999999</v>
      </c>
      <c r="X23" s="141">
        <f>X19</f>
        <v>114948.95999999999</v>
      </c>
      <c r="Y23" s="141">
        <f t="shared" si="3"/>
        <v>30533.88</v>
      </c>
      <c r="Z23" s="141">
        <f t="shared" si="3"/>
        <v>30533.88</v>
      </c>
      <c r="AA23" s="141" t="s">
        <v>243</v>
      </c>
      <c r="AB23" s="141" t="s">
        <v>243</v>
      </c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>
        <f>AQ19</f>
        <v>30533.88</v>
      </c>
      <c r="AR23" s="141">
        <f>AQ23</f>
        <v>30533.88</v>
      </c>
    </row>
    <row r="24" spans="1:44" ht="51">
      <c r="A24" s="145" t="s">
        <v>245</v>
      </c>
      <c r="B24" s="146" t="s">
        <v>264</v>
      </c>
      <c r="C24" s="146" t="s">
        <v>263</v>
      </c>
      <c r="D24" s="146" t="s">
        <v>246</v>
      </c>
      <c r="E24" s="134">
        <f>F24</f>
        <v>80592</v>
      </c>
      <c r="F24" s="134">
        <f>X24</f>
        <v>80592</v>
      </c>
      <c r="G24" s="134" t="s">
        <v>243</v>
      </c>
      <c r="H24" s="134" t="s">
        <v>243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5">
        <f>X24</f>
        <v>80592</v>
      </c>
      <c r="X24" s="135">
        <f>X21</f>
        <v>80592</v>
      </c>
      <c r="Y24" s="135">
        <f t="shared" si="3"/>
        <v>24412.64</v>
      </c>
      <c r="Z24" s="135">
        <f t="shared" si="3"/>
        <v>24412.64</v>
      </c>
      <c r="AA24" s="135" t="s">
        <v>243</v>
      </c>
      <c r="AB24" s="135" t="s">
        <v>243</v>
      </c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>
        <f>AR24</f>
        <v>24412.64</v>
      </c>
      <c r="AR24" s="135">
        <f>AR21</f>
        <v>24412.64</v>
      </c>
    </row>
    <row r="25" spans="1:44" ht="140.25">
      <c r="A25" s="145" t="s">
        <v>265</v>
      </c>
      <c r="B25" s="146" t="s">
        <v>266</v>
      </c>
      <c r="C25" s="146" t="s">
        <v>263</v>
      </c>
      <c r="D25" s="146" t="s">
        <v>247</v>
      </c>
      <c r="E25" s="134">
        <f>W25</f>
        <v>24339</v>
      </c>
      <c r="F25" s="134">
        <f>X25</f>
        <v>24339</v>
      </c>
      <c r="G25" s="134" t="s">
        <v>243</v>
      </c>
      <c r="H25" s="134" t="s">
        <v>243</v>
      </c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5">
        <f>X25</f>
        <v>24339</v>
      </c>
      <c r="X25" s="135">
        <f>X22</f>
        <v>24339</v>
      </c>
      <c r="Y25" s="135">
        <f t="shared" si="3"/>
        <v>6121.240000000001</v>
      </c>
      <c r="Z25" s="135">
        <f t="shared" si="3"/>
        <v>6121.240000000001</v>
      </c>
      <c r="AA25" s="135" t="s">
        <v>243</v>
      </c>
      <c r="AB25" s="135" t="s">
        <v>243</v>
      </c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>
        <f>AR25</f>
        <v>6121.240000000001</v>
      </c>
      <c r="AR25" s="135">
        <f>AR22</f>
        <v>6121.240000000001</v>
      </c>
    </row>
    <row r="26" spans="1:44" ht="76.5">
      <c r="A26" s="151" t="s">
        <v>267</v>
      </c>
      <c r="B26" s="148" t="s">
        <v>268</v>
      </c>
      <c r="C26" s="120" t="s">
        <v>241</v>
      </c>
      <c r="D26" s="121" t="s">
        <v>242</v>
      </c>
      <c r="E26" s="140">
        <f>W26</f>
        <v>114948.95999999999</v>
      </c>
      <c r="F26" s="135">
        <f>X26</f>
        <v>114948.95999999999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>
        <f>W23</f>
        <v>114948.95999999999</v>
      </c>
      <c r="X26" s="141">
        <f>X23</f>
        <v>114948.95999999999</v>
      </c>
      <c r="Y26" s="141">
        <f t="shared" si="3"/>
        <v>30533.88</v>
      </c>
      <c r="Z26" s="141">
        <f t="shared" si="3"/>
        <v>30533.88</v>
      </c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>
        <f>'2. Расходы бюджета (1.12)'!F76+'2. Расходы бюджета (1.12)'!F129</f>
        <v>30533.88</v>
      </c>
      <c r="AR26" s="141">
        <f>AR23</f>
        <v>30533.88</v>
      </c>
    </row>
    <row r="27" spans="1:44" ht="25.5">
      <c r="A27" s="285" t="s">
        <v>271</v>
      </c>
      <c r="B27" s="286" t="s">
        <v>272</v>
      </c>
      <c r="C27" s="287" t="s">
        <v>241</v>
      </c>
      <c r="D27" s="288" t="s">
        <v>242</v>
      </c>
      <c r="E27" s="289">
        <f>E28+E29</f>
        <v>2215116.85</v>
      </c>
      <c r="F27" s="234">
        <f aca="true" t="shared" si="4" ref="F27:F34">X27</f>
        <v>0</v>
      </c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>
        <f>W28+W29</f>
        <v>2215116.85</v>
      </c>
      <c r="X27" s="290"/>
      <c r="Y27" s="290">
        <f>Y28+Y29</f>
        <v>523395.28</v>
      </c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>
        <f>AQ28+AQ29</f>
        <v>523395.28</v>
      </c>
      <c r="AR27" s="290"/>
    </row>
    <row r="28" spans="1:49" ht="76.5">
      <c r="A28" s="147" t="s">
        <v>269</v>
      </c>
      <c r="B28" s="146" t="s">
        <v>273</v>
      </c>
      <c r="C28" s="113" t="s">
        <v>241</v>
      </c>
      <c r="D28" s="144" t="s">
        <v>242</v>
      </c>
      <c r="E28" s="134">
        <f>W28</f>
        <v>1603363</v>
      </c>
      <c r="F28" s="135">
        <f t="shared" si="4"/>
        <v>0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234">
        <v>1603363</v>
      </c>
      <c r="X28" s="135"/>
      <c r="Y28" s="135">
        <f>AQ28</f>
        <v>217808.32</v>
      </c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234">
        <f>217808.32</f>
        <v>217808.32</v>
      </c>
      <c r="AR28" s="135"/>
      <c r="AT28" s="229"/>
      <c r="AW28" s="229"/>
    </row>
    <row r="29" spans="1:44" ht="63.75">
      <c r="A29" s="147" t="s">
        <v>270</v>
      </c>
      <c r="B29" s="146" t="s">
        <v>274</v>
      </c>
      <c r="C29" s="113" t="s">
        <v>241</v>
      </c>
      <c r="D29" s="144" t="s">
        <v>242</v>
      </c>
      <c r="E29" s="134">
        <f>W29</f>
        <v>611753.85</v>
      </c>
      <c r="F29" s="135">
        <f t="shared" si="4"/>
        <v>0</v>
      </c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234">
        <f>300000+311753.85</f>
        <v>611753.85</v>
      </c>
      <c r="X29" s="135"/>
      <c r="Y29" s="135">
        <f>AQ29</f>
        <v>305586.96</v>
      </c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234">
        <f>305586.96</f>
        <v>305586.96</v>
      </c>
      <c r="AR29" s="134"/>
    </row>
    <row r="30" spans="1:44" ht="25.5">
      <c r="A30" s="119" t="s">
        <v>275</v>
      </c>
      <c r="B30" s="149" t="s">
        <v>276</v>
      </c>
      <c r="C30" s="150" t="s">
        <v>277</v>
      </c>
      <c r="D30" s="154" t="s">
        <v>242</v>
      </c>
      <c r="E30" s="155">
        <f>'2. Расходы бюджета (1.12)'!D96</f>
        <v>0</v>
      </c>
      <c r="F30" s="135">
        <f t="shared" si="4"/>
        <v>0</v>
      </c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>
        <f>E30</f>
        <v>0</v>
      </c>
      <c r="X30" s="155"/>
      <c r="Y30" s="155">
        <f>AQ30</f>
        <v>0</v>
      </c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>
        <f>'2. Расходы бюджета (1.12)'!F97</f>
        <v>0</v>
      </c>
      <c r="AR30" s="156"/>
    </row>
    <row r="31" spans="1:44" ht="15">
      <c r="A31" s="152" t="s">
        <v>260</v>
      </c>
      <c r="B31" s="143"/>
      <c r="C31" s="157"/>
      <c r="D31" s="116"/>
      <c r="E31" s="155"/>
      <c r="F31" s="135">
        <f t="shared" si="4"/>
        <v>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</row>
    <row r="32" spans="1:44" ht="25.5">
      <c r="A32" s="153" t="s">
        <v>278</v>
      </c>
      <c r="B32" s="120" t="s">
        <v>279</v>
      </c>
      <c r="C32" s="150" t="s">
        <v>241</v>
      </c>
      <c r="D32" s="154" t="s">
        <v>242</v>
      </c>
      <c r="E32" s="156">
        <f>W32</f>
        <v>109414.32</v>
      </c>
      <c r="F32" s="135">
        <f t="shared" si="4"/>
        <v>0</v>
      </c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>
        <f>'2. Расходы бюджета (1.12)'!D134</f>
        <v>109414.32</v>
      </c>
      <c r="X32" s="156"/>
      <c r="Y32" s="156">
        <f>AQ32</f>
        <v>27353.58</v>
      </c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>
        <f>'2. Расходы бюджета (1.12)'!F132</f>
        <v>27353.58</v>
      </c>
      <c r="AR32" s="156"/>
    </row>
    <row r="33" spans="1:44" ht="102">
      <c r="A33" s="119" t="s">
        <v>280</v>
      </c>
      <c r="B33" s="148" t="s">
        <v>281</v>
      </c>
      <c r="C33" s="154" t="s">
        <v>241</v>
      </c>
      <c r="D33" s="154" t="s">
        <v>242</v>
      </c>
      <c r="E33" s="156">
        <f>W33</f>
        <v>0</v>
      </c>
      <c r="F33" s="135" t="str">
        <f t="shared" si="4"/>
        <v>х</v>
      </c>
      <c r="G33" s="155" t="s">
        <v>243</v>
      </c>
      <c r="H33" s="155" t="s">
        <v>243</v>
      </c>
      <c r="I33" s="156"/>
      <c r="J33" s="156" t="s">
        <v>243</v>
      </c>
      <c r="K33" s="156"/>
      <c r="L33" s="156" t="s">
        <v>243</v>
      </c>
      <c r="M33" s="156"/>
      <c r="N33" s="156" t="s">
        <v>243</v>
      </c>
      <c r="O33" s="156"/>
      <c r="P33" s="156" t="s">
        <v>243</v>
      </c>
      <c r="Q33" s="156"/>
      <c r="R33" s="156" t="s">
        <v>243</v>
      </c>
      <c r="S33" s="156"/>
      <c r="T33" s="156" t="s">
        <v>243</v>
      </c>
      <c r="U33" s="156"/>
      <c r="V33" s="156" t="s">
        <v>243</v>
      </c>
      <c r="W33" s="156">
        <v>0</v>
      </c>
      <c r="X33" s="155" t="s">
        <v>243</v>
      </c>
      <c r="Y33" s="156" t="str">
        <f>AQ33</f>
        <v>х</v>
      </c>
      <c r="Z33" s="155" t="s">
        <v>243</v>
      </c>
      <c r="AA33" s="155" t="s">
        <v>243</v>
      </c>
      <c r="AB33" s="155" t="s">
        <v>243</v>
      </c>
      <c r="AC33" s="155" t="s">
        <v>243</v>
      </c>
      <c r="AD33" s="155" t="s">
        <v>243</v>
      </c>
      <c r="AE33" s="155" t="s">
        <v>243</v>
      </c>
      <c r="AF33" s="155" t="s">
        <v>243</v>
      </c>
      <c r="AG33" s="155" t="s">
        <v>243</v>
      </c>
      <c r="AH33" s="155" t="s">
        <v>243</v>
      </c>
      <c r="AI33" s="155" t="s">
        <v>243</v>
      </c>
      <c r="AJ33" s="155" t="s">
        <v>243</v>
      </c>
      <c r="AK33" s="155" t="s">
        <v>243</v>
      </c>
      <c r="AL33" s="155" t="s">
        <v>243</v>
      </c>
      <c r="AM33" s="155" t="s">
        <v>243</v>
      </c>
      <c r="AN33" s="155" t="s">
        <v>243</v>
      </c>
      <c r="AO33" s="155" t="s">
        <v>243</v>
      </c>
      <c r="AP33" s="155" t="s">
        <v>243</v>
      </c>
      <c r="AQ33" s="155" t="s">
        <v>243</v>
      </c>
      <c r="AR33" s="155" t="s">
        <v>243</v>
      </c>
    </row>
    <row r="34" spans="1:44" ht="69.75" customHeight="1">
      <c r="A34" s="204" t="s">
        <v>386</v>
      </c>
      <c r="B34" s="148" t="s">
        <v>387</v>
      </c>
      <c r="C34" s="154" t="s">
        <v>241</v>
      </c>
      <c r="D34" s="154" t="s">
        <v>242</v>
      </c>
      <c r="E34" s="156">
        <f>W34</f>
        <v>5000</v>
      </c>
      <c r="F34" s="135">
        <f t="shared" si="4"/>
        <v>0</v>
      </c>
      <c r="G34" s="155"/>
      <c r="H34" s="155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>
        <f>'2. Расходы бюджета (1.12)'!D34+'2. Расходы бюджета (1.12)'!D35</f>
        <v>5000</v>
      </c>
      <c r="X34" s="155"/>
      <c r="Y34" s="156">
        <f>AQ34</f>
        <v>2368.66</v>
      </c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>
        <f>'2. Расходы бюджета (1.12)'!F34+'2. Расходы бюджета (1.12)'!F35</f>
        <v>2368.66</v>
      </c>
      <c r="AR34" s="155"/>
    </row>
    <row r="35" spans="1:44" ht="38.25">
      <c r="A35" s="119" t="s">
        <v>282</v>
      </c>
      <c r="B35" s="149" t="s">
        <v>283</v>
      </c>
      <c r="C35" s="150" t="s">
        <v>241</v>
      </c>
      <c r="D35" s="154" t="s">
        <v>242</v>
      </c>
      <c r="E35" s="156">
        <f>'2. Расходы бюджета (1.12)'!D7-справочная!G35</f>
        <v>4478856.130000001</v>
      </c>
      <c r="F35" s="135">
        <f>'2. Расходы бюджета (1.12)'!D75</f>
        <v>114948.95999999999</v>
      </c>
      <c r="G35" s="156">
        <f>'2. Расходы бюджета (1.12)'!D39+'2. Расходы бюджета (1.12)'!D41+'2. Расходы бюджета (1.12)'!D62+'2. Расходы бюджета (1.12)'!D137+'2. Расходы бюджета (1.12)'!D64</f>
        <v>5025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>
        <f>'2. Расходы бюджета (1.12)'!D7</f>
        <v>4483881.130000001</v>
      </c>
      <c r="X35" s="155">
        <f>F35</f>
        <v>114948.95999999999</v>
      </c>
      <c r="Y35" s="156">
        <f>'2. Расходы бюджета (1.12)'!F7-AA35</f>
        <v>1117882.58</v>
      </c>
      <c r="Z35" s="156">
        <f>AR35</f>
        <v>30533.88</v>
      </c>
      <c r="AA35" s="156">
        <f>'2. Расходы бюджета (1.12)'!F136+'2. Расходы бюджета (1.12)'!F63+'2. Расходы бюджета (1.12)'!F42+'2. Расходы бюджета (1.12)'!F40</f>
        <v>0</v>
      </c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>
        <f>'2. Расходы бюджета (1.12)'!F7</f>
        <v>1117882.58</v>
      </c>
      <c r="AR35" s="156">
        <f>AR26</f>
        <v>30533.88</v>
      </c>
    </row>
    <row r="36" spans="1:44" ht="102">
      <c r="A36" s="160" t="s">
        <v>284</v>
      </c>
      <c r="B36" s="137" t="s">
        <v>285</v>
      </c>
      <c r="C36" s="116" t="s">
        <v>241</v>
      </c>
      <c r="D36" s="113" t="s">
        <v>242</v>
      </c>
      <c r="E36" s="156">
        <f aca="true" t="shared" si="5" ref="E36:E41">W36</f>
        <v>114948.95999999999</v>
      </c>
      <c r="F36" s="135">
        <f>F35</f>
        <v>114948.95999999999</v>
      </c>
      <c r="G36" s="161"/>
      <c r="H36" s="161"/>
      <c r="I36" s="161"/>
      <c r="J36" s="161"/>
      <c r="K36" s="161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2">
        <f>X36</f>
        <v>114948.95999999999</v>
      </c>
      <c r="X36" s="162">
        <f>X35</f>
        <v>114948.95999999999</v>
      </c>
      <c r="Y36" s="156">
        <f>AQ36</f>
        <v>30533.88</v>
      </c>
      <c r="Z36" s="162">
        <f>AR36</f>
        <v>30533.88</v>
      </c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55">
        <f>AQ26</f>
        <v>30533.88</v>
      </c>
      <c r="AR36" s="155">
        <f>AR26</f>
        <v>30533.88</v>
      </c>
    </row>
    <row r="37" spans="1:44" ht="38.25">
      <c r="A37" s="119" t="s">
        <v>286</v>
      </c>
      <c r="B37" s="149" t="s">
        <v>287</v>
      </c>
      <c r="C37" s="150" t="s">
        <v>241</v>
      </c>
      <c r="D37" s="154" t="s">
        <v>242</v>
      </c>
      <c r="E37" s="156" t="str">
        <f t="shared" si="5"/>
        <v>х</v>
      </c>
      <c r="F37" s="161" t="s">
        <v>243</v>
      </c>
      <c r="G37" s="161" t="s">
        <v>243</v>
      </c>
      <c r="H37" s="161" t="s">
        <v>243</v>
      </c>
      <c r="I37" s="161" t="s">
        <v>243</v>
      </c>
      <c r="J37" s="161" t="s">
        <v>243</v>
      </c>
      <c r="K37" s="161" t="s">
        <v>243</v>
      </c>
      <c r="L37" s="161" t="s">
        <v>243</v>
      </c>
      <c r="M37" s="161" t="s">
        <v>243</v>
      </c>
      <c r="N37" s="161" t="s">
        <v>243</v>
      </c>
      <c r="O37" s="161" t="s">
        <v>243</v>
      </c>
      <c r="P37" s="161" t="s">
        <v>243</v>
      </c>
      <c r="Q37" s="161" t="s">
        <v>243</v>
      </c>
      <c r="R37" s="161" t="s">
        <v>243</v>
      </c>
      <c r="S37" s="161" t="s">
        <v>243</v>
      </c>
      <c r="T37" s="161" t="s">
        <v>243</v>
      </c>
      <c r="U37" s="161" t="s">
        <v>243</v>
      </c>
      <c r="V37" s="161" t="s">
        <v>243</v>
      </c>
      <c r="W37" s="161" t="s">
        <v>243</v>
      </c>
      <c r="X37" s="161" t="s">
        <v>243</v>
      </c>
      <c r="Y37" s="156">
        <f>AQ37</f>
        <v>874831.9799999999</v>
      </c>
      <c r="Z37" s="156">
        <f>Z39</f>
        <v>21193.16</v>
      </c>
      <c r="AA37" s="155" t="s">
        <v>243</v>
      </c>
      <c r="AB37" s="155" t="s">
        <v>243</v>
      </c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>
        <f>974979.7+'2. Расходы бюджета (1.12)'!F140</f>
        <v>874831.9799999999</v>
      </c>
      <c r="AR37" s="156">
        <f>Z37</f>
        <v>21193.16</v>
      </c>
    </row>
    <row r="38" spans="1:44" ht="15">
      <c r="A38" s="186" t="s">
        <v>260</v>
      </c>
      <c r="B38" s="143"/>
      <c r="C38" s="157"/>
      <c r="D38" s="157"/>
      <c r="E38" s="156">
        <f t="shared" si="5"/>
        <v>0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8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63"/>
      <c r="AR38" s="159"/>
    </row>
    <row r="39" spans="1:44" ht="45" customHeight="1">
      <c r="A39" s="193" t="s">
        <v>288</v>
      </c>
      <c r="B39" s="146" t="s">
        <v>289</v>
      </c>
      <c r="C39" s="113" t="s">
        <v>241</v>
      </c>
      <c r="D39" s="113" t="s">
        <v>242</v>
      </c>
      <c r="E39" s="156" t="str">
        <f t="shared" si="5"/>
        <v>х</v>
      </c>
      <c r="F39" s="163" t="s">
        <v>243</v>
      </c>
      <c r="G39" s="163" t="s">
        <v>243</v>
      </c>
      <c r="H39" s="163" t="s">
        <v>243</v>
      </c>
      <c r="I39" s="163" t="s">
        <v>243</v>
      </c>
      <c r="J39" s="163" t="s">
        <v>243</v>
      </c>
      <c r="K39" s="163" t="s">
        <v>243</v>
      </c>
      <c r="L39" s="163" t="s">
        <v>243</v>
      </c>
      <c r="M39" s="163" t="s">
        <v>243</v>
      </c>
      <c r="N39" s="163" t="s">
        <v>243</v>
      </c>
      <c r="O39" s="163" t="s">
        <v>243</v>
      </c>
      <c r="P39" s="163" t="s">
        <v>243</v>
      </c>
      <c r="Q39" s="163" t="s">
        <v>243</v>
      </c>
      <c r="R39" s="163" t="s">
        <v>243</v>
      </c>
      <c r="S39" s="163" t="s">
        <v>243</v>
      </c>
      <c r="T39" s="163" t="s">
        <v>243</v>
      </c>
      <c r="U39" s="163" t="s">
        <v>243</v>
      </c>
      <c r="V39" s="163" t="s">
        <v>243</v>
      </c>
      <c r="W39" s="163" t="s">
        <v>243</v>
      </c>
      <c r="X39" s="163" t="s">
        <v>243</v>
      </c>
      <c r="Y39" s="162">
        <f>AQ39</f>
        <v>21193.16</v>
      </c>
      <c r="Z39" s="162">
        <f>AR39</f>
        <v>21193.16</v>
      </c>
      <c r="AA39" s="162" t="s">
        <v>243</v>
      </c>
      <c r="AB39" s="162" t="s">
        <v>243</v>
      </c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>
        <f>'1. Доходы бюджета (1.12)'!E86-'2. Расходы бюджета (1.12)'!F76</f>
        <v>21193.16</v>
      </c>
      <c r="AR39" s="162">
        <f>AQ39</f>
        <v>21193.16</v>
      </c>
    </row>
    <row r="40" spans="1:44" ht="27.75" customHeight="1">
      <c r="A40" s="274" t="s">
        <v>304</v>
      </c>
      <c r="B40" s="275" t="s">
        <v>305</v>
      </c>
      <c r="C40" s="276" t="s">
        <v>242</v>
      </c>
      <c r="D40" s="276" t="s">
        <v>242</v>
      </c>
      <c r="E40" s="277">
        <f t="shared" si="5"/>
        <v>32000</v>
      </c>
      <c r="F40" s="278"/>
      <c r="G40" s="279"/>
      <c r="H40" s="278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1">
        <f>W41+W42</f>
        <v>32000</v>
      </c>
      <c r="X40" s="278"/>
      <c r="Y40" s="281">
        <f>AQ40</f>
        <v>32000</v>
      </c>
      <c r="Z40" s="282"/>
      <c r="AA40" s="282"/>
      <c r="AB40" s="283"/>
      <c r="AC40" s="282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>
        <f>AQ41+AQ42</f>
        <v>32000</v>
      </c>
      <c r="AR40" s="283"/>
    </row>
    <row r="41" spans="1:44" ht="118.5" customHeight="1">
      <c r="A41" s="200" t="s">
        <v>382</v>
      </c>
      <c r="B41" s="187" t="s">
        <v>347</v>
      </c>
      <c r="C41" s="188" t="s">
        <v>242</v>
      </c>
      <c r="D41" s="188" t="s">
        <v>242</v>
      </c>
      <c r="E41" s="277">
        <f t="shared" si="5"/>
        <v>32000</v>
      </c>
      <c r="F41" s="163">
        <v>0</v>
      </c>
      <c r="G41" s="163">
        <v>0</v>
      </c>
      <c r="H41" s="189" t="s">
        <v>348</v>
      </c>
      <c r="I41" s="182" t="s">
        <v>349</v>
      </c>
      <c r="J41" s="182" t="s">
        <v>350</v>
      </c>
      <c r="K41" s="182" t="s">
        <v>351</v>
      </c>
      <c r="L41" s="182" t="s">
        <v>352</v>
      </c>
      <c r="M41" s="182" t="s">
        <v>353</v>
      </c>
      <c r="N41" s="182" t="s">
        <v>354</v>
      </c>
      <c r="O41" s="182" t="s">
        <v>355</v>
      </c>
      <c r="P41" s="182" t="s">
        <v>356</v>
      </c>
      <c r="Q41" s="182" t="s">
        <v>357</v>
      </c>
      <c r="R41" s="182" t="s">
        <v>358</v>
      </c>
      <c r="S41" s="182" t="s">
        <v>359</v>
      </c>
      <c r="T41" s="182" t="s">
        <v>360</v>
      </c>
      <c r="U41" s="182" t="s">
        <v>361</v>
      </c>
      <c r="V41" s="182"/>
      <c r="W41" s="281">
        <f>'2. Расходы бюджета (1.12)'!D24</f>
        <v>32000</v>
      </c>
      <c r="X41" s="190">
        <v>0</v>
      </c>
      <c r="Y41" s="162">
        <f>AQ41</f>
        <v>32000</v>
      </c>
      <c r="Z41" s="162">
        <v>0</v>
      </c>
      <c r="AA41" s="191">
        <v>0</v>
      </c>
      <c r="AB41" s="155">
        <v>0</v>
      </c>
      <c r="AC41" s="191" t="s">
        <v>348</v>
      </c>
      <c r="AD41" s="192" t="s">
        <v>349</v>
      </c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284">
        <f>'2. Расходы бюджета (1.12)'!F24+'2. Расходы бюджета (1.12)'!F105</f>
        <v>32000</v>
      </c>
      <c r="AR41" s="162"/>
    </row>
    <row r="42" spans="1:44" ht="72" customHeight="1">
      <c r="A42" s="200" t="s">
        <v>381</v>
      </c>
      <c r="B42" s="187" t="s">
        <v>375</v>
      </c>
      <c r="C42" s="188" t="s">
        <v>242</v>
      </c>
      <c r="D42" s="188" t="s">
        <v>242</v>
      </c>
      <c r="E42" s="156">
        <f>'2. Расходы бюджета (1.12)'!D115</f>
        <v>0</v>
      </c>
      <c r="F42" s="163">
        <v>0</v>
      </c>
      <c r="G42" s="182">
        <v>0</v>
      </c>
      <c r="H42" s="189" t="s">
        <v>348</v>
      </c>
      <c r="I42" s="182" t="s">
        <v>349</v>
      </c>
      <c r="J42" s="182" t="s">
        <v>350</v>
      </c>
      <c r="K42" s="182" t="s">
        <v>351</v>
      </c>
      <c r="L42" s="182" t="s">
        <v>352</v>
      </c>
      <c r="M42" s="182" t="s">
        <v>353</v>
      </c>
      <c r="N42" s="182" t="s">
        <v>354</v>
      </c>
      <c r="O42" s="182" t="s">
        <v>355</v>
      </c>
      <c r="P42" s="182" t="s">
        <v>356</v>
      </c>
      <c r="Q42" s="182" t="s">
        <v>357</v>
      </c>
      <c r="R42" s="182" t="s">
        <v>358</v>
      </c>
      <c r="S42" s="182" t="s">
        <v>359</v>
      </c>
      <c r="T42" s="182" t="s">
        <v>360</v>
      </c>
      <c r="U42" s="182" t="s">
        <v>361</v>
      </c>
      <c r="V42" s="182" t="s">
        <v>362</v>
      </c>
      <c r="W42" s="162">
        <f>E42</f>
        <v>0</v>
      </c>
      <c r="X42" s="163">
        <v>0</v>
      </c>
      <c r="Y42" s="162">
        <v>0</v>
      </c>
      <c r="Z42" s="162">
        <v>0</v>
      </c>
      <c r="AA42" s="191">
        <v>0</v>
      </c>
      <c r="AB42" s="155">
        <v>0</v>
      </c>
      <c r="AC42" s="191" t="s">
        <v>348</v>
      </c>
      <c r="AD42" s="192" t="s">
        <v>349</v>
      </c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>
        <f>Y42</f>
        <v>0</v>
      </c>
      <c r="AR42" s="162"/>
    </row>
    <row r="43" spans="1:44" ht="12.75">
      <c r="A43" s="164"/>
      <c r="B43" s="165"/>
      <c r="C43" s="183"/>
      <c r="D43" s="183"/>
      <c r="E43" s="166"/>
      <c r="F43" s="184"/>
      <c r="G43" s="184"/>
      <c r="H43" s="184"/>
      <c r="I43" s="166"/>
      <c r="J43" s="166"/>
      <c r="K43" s="166"/>
      <c r="L43" s="166"/>
      <c r="M43" s="166"/>
      <c r="N43" s="166"/>
      <c r="O43" s="166"/>
      <c r="P43" s="166"/>
      <c r="Q43" s="106"/>
      <c r="R43" s="106"/>
      <c r="S43" s="106"/>
      <c r="T43" s="106"/>
      <c r="U43" s="106"/>
      <c r="V43" s="106"/>
      <c r="W43" s="106"/>
      <c r="X43" s="185"/>
      <c r="Y43" s="167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66"/>
    </row>
    <row r="44" spans="1:44" ht="15">
      <c r="A44" s="168" t="s">
        <v>368</v>
      </c>
      <c r="B44" s="169"/>
      <c r="C44" s="170"/>
      <c r="D44" s="170"/>
      <c r="E44" s="169"/>
      <c r="F44" s="104"/>
      <c r="G44" s="104"/>
      <c r="H44" s="104"/>
      <c r="I44" s="104"/>
      <c r="J44" s="104"/>
      <c r="K44" s="169"/>
      <c r="L44" s="170"/>
      <c r="M44" s="169"/>
      <c r="N44" s="171"/>
      <c r="O44" s="386" t="s">
        <v>390</v>
      </c>
      <c r="P44" s="386"/>
      <c r="Q44" s="386"/>
      <c r="R44" s="386"/>
      <c r="S44" s="386"/>
      <c r="T44" s="386"/>
      <c r="U44" s="386"/>
      <c r="V44" s="386"/>
      <c r="W44" s="386"/>
      <c r="X44" s="386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06"/>
      <c r="AN44" s="169"/>
      <c r="AO44" s="169"/>
      <c r="AP44" s="169"/>
      <c r="AQ44" s="169"/>
      <c r="AR44" s="169"/>
    </row>
    <row r="45" spans="1:44" ht="12.75">
      <c r="A45" s="172"/>
      <c r="B45" s="169"/>
      <c r="C45" s="170"/>
      <c r="D45" s="170"/>
      <c r="E45" s="169"/>
      <c r="F45" s="358" t="s">
        <v>290</v>
      </c>
      <c r="G45" s="358"/>
      <c r="H45" s="358"/>
      <c r="I45" s="387"/>
      <c r="J45" s="387"/>
      <c r="K45" s="169"/>
      <c r="L45" s="173"/>
      <c r="M45" s="169"/>
      <c r="N45" s="388" t="s">
        <v>291</v>
      </c>
      <c r="O45" s="388"/>
      <c r="P45" s="388"/>
      <c r="Q45" s="388"/>
      <c r="R45" s="388"/>
      <c r="S45" s="388"/>
      <c r="T45" s="388"/>
      <c r="U45" s="388"/>
      <c r="V45" s="388"/>
      <c r="W45" s="388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</row>
    <row r="46" spans="2:44" ht="12.75">
      <c r="B46" s="169"/>
      <c r="C46" s="170"/>
      <c r="D46" s="170"/>
      <c r="E46" s="169"/>
      <c r="F46" s="107"/>
      <c r="G46" s="107"/>
      <c r="H46" s="107"/>
      <c r="I46" s="107"/>
      <c r="J46" s="107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</row>
    <row r="47" spans="1:39" ht="12.75">
      <c r="A47" s="175"/>
      <c r="C47" s="104"/>
      <c r="D47" s="104"/>
      <c r="AM47" s="169"/>
    </row>
    <row r="48" spans="3:4" ht="12.75">
      <c r="C48" s="104"/>
      <c r="D48" s="104"/>
    </row>
    <row r="49" spans="1:4" ht="12.75">
      <c r="A49" s="174" t="str">
        <f>X4</f>
        <v>на 01.05.2023 года</v>
      </c>
      <c r="C49" s="104"/>
      <c r="D49" s="104"/>
    </row>
    <row r="50" spans="1:9" ht="12.75">
      <c r="A50" s="176"/>
      <c r="C50" s="104"/>
      <c r="D50" s="104"/>
      <c r="E50" s="177"/>
      <c r="F50" s="177"/>
      <c r="G50" s="177"/>
      <c r="H50" s="177"/>
      <c r="I50" s="177"/>
    </row>
    <row r="51" spans="3:5" ht="12.75">
      <c r="C51" s="104"/>
      <c r="D51" s="104"/>
      <c r="E51" s="199"/>
    </row>
    <row r="52" spans="3:4" ht="12.75">
      <c r="C52" s="104"/>
      <c r="D52" s="104"/>
    </row>
    <row r="53" spans="3:4" ht="12.75">
      <c r="C53" s="104"/>
      <c r="D53" s="104"/>
    </row>
    <row r="54" spans="3:4" ht="12.75">
      <c r="C54" s="104"/>
      <c r="D54" s="104"/>
    </row>
    <row r="55" spans="3:4" ht="12.75">
      <c r="C55" s="104"/>
      <c r="D55" s="104"/>
    </row>
    <row r="56" spans="3:4" ht="12.75">
      <c r="C56" s="104"/>
      <c r="D56" s="104"/>
    </row>
    <row r="57" spans="3:4" ht="12.75">
      <c r="C57" s="104"/>
      <c r="D57" s="104"/>
    </row>
    <row r="58" spans="3:4" ht="12.75">
      <c r="C58" s="104"/>
      <c r="D58" s="104"/>
    </row>
    <row r="59" spans="3:4" ht="12.75">
      <c r="C59" s="104"/>
      <c r="D59" s="104"/>
    </row>
    <row r="60" spans="3:4" ht="12.75">
      <c r="C60" s="104"/>
      <c r="D60" s="104"/>
    </row>
    <row r="61" spans="3:4" ht="12.75">
      <c r="C61" s="104"/>
      <c r="D61" s="104"/>
    </row>
    <row r="62" spans="3:4" ht="12.75">
      <c r="C62" s="104"/>
      <c r="D62" s="104"/>
    </row>
    <row r="63" spans="3:4" ht="12.75">
      <c r="C63" s="104"/>
      <c r="D63" s="104"/>
    </row>
    <row r="64" spans="3:4" ht="12.75">
      <c r="C64" s="104"/>
      <c r="D64" s="104"/>
    </row>
    <row r="65" spans="3:4" ht="12.75">
      <c r="C65" s="104"/>
      <c r="D65" s="104"/>
    </row>
    <row r="66" spans="3:4" ht="12.75">
      <c r="C66" s="104"/>
      <c r="D66" s="104"/>
    </row>
  </sheetData>
  <sheetProtection/>
  <mergeCells count="44">
    <mergeCell ref="B10:B12"/>
    <mergeCell ref="C10:D11"/>
    <mergeCell ref="E10:X10"/>
    <mergeCell ref="O44:X44"/>
    <mergeCell ref="F45:J45"/>
    <mergeCell ref="N45:W45"/>
    <mergeCell ref="I11:J11"/>
    <mergeCell ref="K11:L11"/>
    <mergeCell ref="U11:V11"/>
    <mergeCell ref="A14:AR14"/>
    <mergeCell ref="Q11:R11"/>
    <mergeCell ref="S11:T11"/>
    <mergeCell ref="AQ8:AR8"/>
    <mergeCell ref="Y11:Z11"/>
    <mergeCell ref="AA11:AB11"/>
    <mergeCell ref="W8:X8"/>
    <mergeCell ref="Z8:AB8"/>
    <mergeCell ref="AQ11:AR11"/>
    <mergeCell ref="A10:A12"/>
    <mergeCell ref="Y10:AR10"/>
    <mergeCell ref="E11:F11"/>
    <mergeCell ref="G11:H11"/>
    <mergeCell ref="M11:N11"/>
    <mergeCell ref="O11:P11"/>
    <mergeCell ref="AO11:AP11"/>
    <mergeCell ref="W11:X11"/>
    <mergeCell ref="AG11:AH11"/>
    <mergeCell ref="AI11:AJ11"/>
    <mergeCell ref="AQ6:AR6"/>
    <mergeCell ref="AA6:AB6"/>
    <mergeCell ref="AC11:AD11"/>
    <mergeCell ref="AE11:AF11"/>
    <mergeCell ref="AK11:AL11"/>
    <mergeCell ref="AM11:AN11"/>
    <mergeCell ref="W7:X7"/>
    <mergeCell ref="AQ7:AR7"/>
    <mergeCell ref="B1:B3"/>
    <mergeCell ref="K1:AG2"/>
    <mergeCell ref="AQ2:AR2"/>
    <mergeCell ref="W3:X3"/>
    <mergeCell ref="AQ3:AR3"/>
    <mergeCell ref="AQ4:AR4"/>
    <mergeCell ref="Z5:AB5"/>
    <mergeCell ref="AQ5:AR5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2023-04-06T12:42:38Z</cp:lastPrinted>
  <dcterms:created xsi:type="dcterms:W3CDTF">2002-10-08T15:02:13Z</dcterms:created>
  <dcterms:modified xsi:type="dcterms:W3CDTF">2023-05-04T11:52:13Z</dcterms:modified>
  <cp:category/>
  <cp:version/>
  <cp:contentType/>
  <cp:contentStatus/>
</cp:coreProperties>
</file>