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4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 refMode="R1C1"/>
</workbook>
</file>

<file path=xl/sharedStrings.xml><?xml version="1.0" encoding="utf-8"?>
<sst xmlns="http://schemas.openxmlformats.org/spreadsheetml/2006/main" count="1005" uniqueCount="552">
  <si>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</si>
  <si>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</si>
  <si>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</si>
  <si>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</si>
  <si>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</si>
  <si>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</si>
  <si>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</si>
  <si>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</si>
  <si>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</si>
  <si>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</si>
  <si>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</si>
  <si>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</si>
  <si>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</si>
  <si>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</si>
  <si>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</si>
  <si>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</si>
  <si>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</si>
  <si>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</si>
  <si>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</si>
  <si>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</si>
  <si>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</si>
  <si>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</si>
  <si>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</si>
  <si>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</si>
  <si>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</si>
  <si>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</si>
  <si>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</si>
  <si>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</si>
  <si>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</si>
  <si>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</si>
  <si>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</si>
  <si>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</si>
  <si>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</si>
  <si>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</si>
  <si>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</si>
  <si>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</si>
  <si>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</si>
  <si>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</si>
  <si>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</si>
  <si>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</si>
  <si>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</si>
  <si>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</si>
  <si>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</si>
  <si>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</si>
  <si>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</si>
  <si>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</si>
  <si>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</si>
  <si>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</si>
  <si>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</si>
  <si>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</si>
  <si>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</si>
  <si>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</si>
  <si>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</si>
  <si>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</si>
  <si>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</si>
  <si>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</si>
  <si>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</si>
  <si>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</si>
  <si>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</si>
  <si>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</si>
  <si>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</si>
  <si>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</si>
  <si>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</si>
  <si>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</si>
  <si>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</si>
  <si>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</si>
  <si>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</si>
  <si>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</si>
  <si>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</si>
  <si>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</si>
  <si>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</si>
  <si>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</si>
  <si>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</si>
  <si>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</si>
  <si>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</si>
  <si>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</si>
  <si>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</si>
  <si>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</si>
  <si>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</si>
  <si>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</si>
  <si>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</si>
  <si>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</si>
  <si>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</si>
  <si>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</si>
  <si>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</si>
  <si>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</si>
  <si>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</si>
  <si>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</si>
  <si>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</si>
  <si>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</si>
  <si>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</si>
  <si>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</si>
  <si>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</si>
  <si>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</si>
  <si>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</si>
  <si>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</si>
  <si>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</si>
  <si>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</si>
  <si>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</si>
  <si>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</si>
  <si>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</si>
  <si>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</si>
  <si>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</si>
  <si>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</si>
  <si>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</si>
  <si>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</si>
  <si>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</si>
  <si>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</si>
  <si>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</si>
  <si>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</si>
  <si>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</si>
  <si>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</si>
  <si>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</si>
  <si>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</si>
  <si>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</si>
  <si>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</si>
  <si>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</si>
  <si>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</si>
  <si>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</si>
  <si>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</si>
  <si>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</si>
  <si>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</si>
  <si>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</si>
  <si>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</si>
  <si>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</si>
  <si>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</si>
  <si>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</si>
  <si>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</si>
  <si>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</si>
  <si>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</si>
  <si>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</si>
  <si>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</si>
  <si>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</si>
  <si>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</si>
  <si>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</si>
  <si>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</si>
  <si>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</si>
  <si>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</si>
  <si>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</si>
  <si>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</si>
  <si>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</si>
  <si>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</si>
  <si>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</si>
  <si>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</si>
  <si>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</si>
  <si>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</si>
  <si>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</si>
  <si>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</si>
  <si>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</si>
  <si>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</si>
  <si>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</si>
  <si>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</si>
  <si>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</si>
  <si>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</si>
  <si>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</si>
  <si>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</si>
  <si>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</si>
  <si>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</si>
  <si>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</si>
  <si>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</si>
  <si>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</si>
  <si>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</si>
  <si>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</si>
  <si>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</si>
  <si>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</si>
  <si>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</si>
  <si>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</si>
  <si>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Субвенции бюджету муниципального района на передаваемые полномочия по осуществлению внешнего финансового контроля</t>
  </si>
  <si>
    <t>521 06 05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</si>
  <si>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</si>
  <si>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</si>
  <si>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</si>
  <si>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866. 0113. 5210605. 530. 251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</si>
  <si>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</si>
  <si>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</si>
  <si>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</si>
  <si>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</si>
  <si>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</si>
  <si>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</si>
  <si>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</si>
  <si>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</si>
  <si>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</si>
  <si>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</si>
  <si>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</si>
  <si>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</si>
  <si>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</si>
  <si>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</si>
  <si>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</si>
  <si>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</si>
  <si>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</si>
  <si>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</si>
  <si>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</si>
  <si>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</si>
  <si>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</si>
  <si>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</si>
  <si>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</si>
  <si>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Доходы от реализации имущества, находящегося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в части реализации основных средств по указанному имуществу</t>
  </si>
  <si>
    <t>866.11402052.10.0000.410</t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</si>
  <si>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</si>
  <si>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</si>
  <si>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</si>
  <si>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</si>
  <si>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</si>
  <si>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</si>
  <si>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</si>
  <si>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</si>
  <si>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</si>
  <si>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</si>
  <si>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</si>
  <si>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</si>
  <si>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</si>
  <si>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</si>
  <si>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</si>
  <si>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</si>
  <si>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</si>
  <si>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</si>
  <si>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</si>
  <si>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</si>
  <si>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</si>
  <si>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</si>
  <si>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</si>
  <si>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</si>
  <si>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</si>
  <si>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</si>
  <si>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</si>
  <si>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</si>
  <si>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</si>
  <si>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</si>
  <si>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</si>
  <si>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</si>
  <si>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</si>
  <si>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</si>
  <si>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</si>
  <si>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</si>
  <si>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</si>
  <si>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</si>
  <si>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</si>
  <si>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</si>
  <si>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</si>
  <si>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</si>
  <si>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</si>
  <si>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</si>
  <si>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</si>
  <si>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</si>
  <si>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</si>
  <si>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</si>
  <si>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</si>
  <si>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</si>
  <si>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</si>
  <si>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</si>
  <si>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</si>
  <si>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</si>
  <si>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</si>
  <si>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</si>
  <si>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</si>
  <si>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</si>
  <si>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</si>
  <si>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</si>
  <si>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</si>
  <si>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</si>
  <si>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</si>
  <si>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</si>
  <si>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</si>
  <si>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</si>
  <si>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</si>
  <si>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</si>
  <si>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</si>
  <si>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</si>
  <si>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</si>
  <si>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</si>
  <si>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</si>
  <si>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</si>
  <si>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</si>
  <si>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</si>
  <si>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</si>
  <si>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</si>
  <si>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</si>
  <si>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</si>
  <si>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</si>
  <si>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</si>
  <si>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</si>
  <si>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</si>
  <si>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</si>
  <si>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</si>
  <si>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</si>
  <si>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</si>
  <si>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</si>
  <si>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</si>
  <si>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</si>
  <si>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</si>
  <si>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</si>
  <si>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</si>
  <si>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</si>
  <si>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</si>
  <si>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</si>
  <si>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</si>
  <si>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</si>
  <si>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</si>
  <si>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</si>
  <si>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</si>
  <si>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</si>
  <si>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</si>
  <si>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</si>
  <si>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</si>
  <si>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</si>
  <si>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</si>
  <si>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</si>
  <si>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</si>
  <si>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</si>
  <si>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</si>
  <si>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</si>
  <si>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</si>
  <si>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</si>
  <si>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</si>
  <si>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</si>
  <si>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</si>
  <si>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</si>
  <si>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</si>
  <si>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</si>
  <si>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</si>
  <si>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</si>
  <si>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</si>
  <si>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</si>
  <si>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</si>
  <si>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</si>
  <si>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</si>
  <si>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</si>
  <si>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</si>
  <si>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</si>
  <si>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</si>
  <si>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</si>
  <si>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</si>
  <si>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</si>
  <si>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</si>
  <si>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</si>
  <si>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</si>
  <si>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</si>
  <si>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</si>
  <si>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</si>
  <si>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</si>
  <si>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</si>
  <si>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</si>
  <si>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</si>
  <si>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</si>
  <si>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</si>
  <si>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</si>
  <si>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</si>
  <si>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</si>
  <si>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</si>
  <si>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</si>
  <si>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</si>
  <si>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</si>
  <si>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</si>
  <si>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</si>
  <si>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</si>
  <si>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</si>
  <si>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</si>
  <si>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</si>
  <si>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</si>
  <si>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</si>
  <si>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</si>
  <si>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</si>
  <si>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</si>
  <si>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</si>
  <si>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</si>
  <si>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</si>
  <si>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</si>
  <si>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</si>
  <si>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</si>
  <si>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</si>
  <si>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</si>
  <si>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</si>
  <si>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</si>
  <si>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</si>
  <si>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</si>
  <si>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</si>
  <si>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</si>
  <si>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</si>
  <si>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</si>
  <si>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</si>
  <si>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</si>
  <si>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</si>
  <si>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</si>
  <si>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</si>
  <si>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</si>
  <si>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</si>
  <si>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</si>
  <si>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</si>
  <si>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</si>
  <si>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</si>
  <si>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</si>
  <si>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</si>
  <si>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</si>
  <si>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</si>
  <si>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</si>
  <si>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</si>
  <si>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</si>
  <si>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</si>
  <si>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</si>
  <si>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</si>
  <si>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</si>
  <si>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</si>
  <si>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</si>
  <si>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</si>
  <si>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</si>
  <si>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</si>
  <si>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</si>
  <si>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</si>
  <si>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</si>
  <si>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</si>
  <si>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</si>
  <si>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</si>
  <si>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</si>
  <si>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</si>
  <si>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</si>
  <si>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</si>
  <si>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</si>
  <si>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</si>
  <si>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</si>
  <si>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</si>
  <si>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</si>
  <si>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</si>
  <si>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</si>
  <si>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</si>
  <si>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</si>
  <si>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</si>
  <si>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</si>
  <si>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</si>
  <si>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</si>
  <si>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</si>
  <si>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</si>
  <si>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</si>
  <si>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</si>
  <si>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</si>
  <si>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</si>
  <si>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</si>
  <si>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</si>
  <si>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</si>
  <si>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</si>
  <si>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</si>
  <si>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</si>
  <si>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</si>
  <si>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</si>
  <si>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</si>
  <si>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</si>
  <si>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</si>
  <si>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</si>
  <si>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</si>
  <si>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</si>
  <si>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</si>
  <si>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</si>
  <si>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</si>
  <si>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</si>
  <si>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</si>
  <si>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</si>
  <si>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</si>
  <si>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</si>
  <si>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</si>
  <si>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</si>
  <si>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</si>
  <si>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</si>
  <si>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</si>
  <si>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</si>
  <si>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</si>
  <si>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</si>
  <si>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</si>
  <si>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</si>
  <si>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</si>
  <si>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</si>
  <si>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</si>
  <si>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</si>
  <si>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</si>
  <si>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</si>
  <si>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</si>
  <si>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</si>
  <si>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</si>
  <si>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</si>
  <si>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</si>
  <si>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</si>
  <si>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</si>
  <si>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</si>
  <si>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</si>
  <si>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</si>
  <si>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</si>
  <si>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</si>
  <si>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</si>
  <si>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</si>
  <si>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</si>
  <si>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</si>
  <si>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</si>
  <si>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</si>
  <si>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</si>
  <si>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</si>
  <si>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</si>
  <si>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</si>
  <si>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</si>
  <si>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</si>
  <si>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</si>
  <si>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</si>
  <si>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</si>
  <si>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</si>
  <si>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</si>
  <si>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</si>
  <si>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</si>
  <si>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</si>
  <si>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</si>
  <si>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</si>
  <si>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</si>
  <si>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</si>
  <si>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</si>
  <si>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</si>
  <si>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</si>
  <si>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</si>
  <si>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</si>
  <si>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</si>
  <si>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</si>
  <si>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</si>
  <si>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</si>
  <si>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</si>
  <si>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</si>
  <si>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</si>
  <si>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</si>
  <si>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</si>
  <si>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</si>
  <si>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</si>
  <si>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</si>
  <si>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</si>
  <si>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</si>
  <si>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</si>
  <si>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</si>
  <si>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</si>
  <si>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</si>
  <si>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</si>
  <si>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</si>
  <si>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</si>
  <si>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</si>
  <si>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</si>
  <si>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</si>
  <si>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</si>
  <si>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</si>
  <si>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</si>
  <si>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</si>
  <si>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</si>
  <si>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</si>
  <si>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866. 1001. 6640782450. 321. 264</t>
  </si>
  <si>
    <t>66 4 08 84290</t>
  </si>
  <si>
    <t>866. 1102. 6640884290. 540. 251</t>
  </si>
  <si>
    <t>866. 0203. 6640251180. 121. 266</t>
  </si>
  <si>
    <t>866. 0801. 6640680450.850. 291</t>
  </si>
  <si>
    <t>Глава администрации____________________ Сеничкина А.П.
Главный бухгалтер</t>
  </si>
  <si>
    <t>182 1 06 01030 10 2000 110</t>
  </si>
  <si>
    <t>на 01.08.2022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</si>
</sst>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PageLayoutView="0" workbookViewId="0" topLeftCell="A34">
      <pane xSplit="21750" topLeftCell="J1" activePane="topLeft" state="split"/>
      <selection pane="topLeft" activeCell="H61" sqref="H61"/>
      <selection pane="topRight" activeCell="L87" sqref="L87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31" t="s">
        <v>10</v>
      </c>
      <c r="B2" s="331"/>
      <c r="C2" s="331"/>
      <c r="D2" s="331"/>
      <c r="E2" s="331"/>
      <c r="F2" s="331"/>
      <c r="G2" s="331"/>
      <c r="H2" s="5"/>
      <c r="I2" s="7" t="s">
        <v>0</v>
      </c>
    </row>
    <row r="3" spans="1:9" s="14" customFormat="1" ht="14.25">
      <c r="A3" s="342" t="s">
        <v>6</v>
      </c>
      <c r="B3" s="342"/>
      <c r="C3" s="342"/>
      <c r="D3" s="342"/>
      <c r="E3" s="342"/>
      <c r="F3" s="342"/>
      <c r="G3" s="342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551</v>
      </c>
      <c r="D4" s="73"/>
      <c r="E4" s="73"/>
      <c r="F4" s="73"/>
      <c r="G4" s="73"/>
      <c r="H4" s="8" t="s">
        <v>2</v>
      </c>
      <c r="I4" s="10" t="str">
        <f>C4</f>
        <v>на 01.08.2022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32" t="s">
        <v>440</v>
      </c>
      <c r="B6" s="333"/>
      <c r="C6" s="333"/>
      <c r="D6" s="333"/>
      <c r="E6" s="333"/>
      <c r="F6" s="333"/>
      <c r="G6" s="333"/>
      <c r="H6" s="40" t="s">
        <v>8</v>
      </c>
      <c r="I6" s="41"/>
    </row>
    <row r="7" spans="1:9" ht="15" customHeight="1">
      <c r="A7" s="341" t="s">
        <v>75</v>
      </c>
      <c r="B7" s="341"/>
      <c r="C7" s="341"/>
      <c r="D7" s="341"/>
      <c r="E7" s="341"/>
      <c r="F7" s="341"/>
      <c r="G7" s="341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34" t="s">
        <v>12</v>
      </c>
      <c r="B11" s="334"/>
      <c r="C11" s="334"/>
      <c r="D11" s="334"/>
      <c r="E11" s="334"/>
      <c r="F11" s="334"/>
      <c r="G11" s="334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35" t="s">
        <v>4</v>
      </c>
      <c r="B13" s="337" t="s">
        <v>5</v>
      </c>
      <c r="C13" s="337" t="s">
        <v>13</v>
      </c>
      <c r="D13" s="339" t="s">
        <v>14</v>
      </c>
      <c r="E13" s="324" t="s">
        <v>15</v>
      </c>
      <c r="F13" s="325"/>
      <c r="G13" s="325"/>
      <c r="H13" s="326"/>
      <c r="I13" s="329" t="s">
        <v>20</v>
      </c>
    </row>
    <row r="14" spans="1:9" s="14" customFormat="1" ht="77.25" customHeight="1">
      <c r="A14" s="336"/>
      <c r="B14" s="338"/>
      <c r="C14" s="338"/>
      <c r="D14" s="340"/>
      <c r="E14" s="46" t="s">
        <v>16</v>
      </c>
      <c r="F14" s="45" t="s">
        <v>17</v>
      </c>
      <c r="G14" s="45" t="s">
        <v>18</v>
      </c>
      <c r="H14" s="45" t="s">
        <v>19</v>
      </c>
      <c r="I14" s="330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>D18+D88</f>
        <v>3381190.3000000003</v>
      </c>
      <c r="E16" s="299">
        <f>E18+E88</f>
        <v>1859323.99</v>
      </c>
      <c r="F16" s="299">
        <f>F18+F88</f>
        <v>0</v>
      </c>
      <c r="G16" s="299">
        <f>G18+G88</f>
        <v>0</v>
      </c>
      <c r="H16" s="299">
        <f>H18+H88</f>
        <v>1859323.99</v>
      </c>
      <c r="I16" s="299">
        <f>I18+I88</f>
        <v>1521866.31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>D48+D53+D57+D61+D64+D66+D68</f>
        <v>688300</v>
      </c>
      <c r="E18" s="300">
        <f>E48+E53+E57+E61+E64+E66+E68</f>
        <v>556652.01</v>
      </c>
      <c r="F18" s="300">
        <f>F48+F53+F57+F61+F64+F66+F68</f>
        <v>0</v>
      </c>
      <c r="G18" s="300">
        <f>G48+G53+G57+G61+G64+G66+G68</f>
        <v>0</v>
      </c>
      <c r="H18" s="300">
        <f>H48+H53+H57+H61+H64+H66+H68</f>
        <v>556652.01</v>
      </c>
      <c r="I18" s="300">
        <f>I48+I53+I57+I61+I64+I66+I68</f>
        <v>131647.99000000008</v>
      </c>
    </row>
    <row r="19" spans="1:9" s="69" customFormat="1" ht="42" customHeight="1">
      <c r="A19" s="249" t="s">
        <v>188</v>
      </c>
      <c r="B19" s="250" t="s">
        <v>44</v>
      </c>
      <c r="C19" s="182" t="s">
        <v>370</v>
      </c>
      <c r="D19" s="301">
        <v>36000</v>
      </c>
      <c r="E19" s="301">
        <f>H19</f>
        <v>11322.05</v>
      </c>
      <c r="F19" s="301"/>
      <c r="G19" s="301"/>
      <c r="H19" s="301">
        <f>168.18+857.52-255.79+5300.76-7.38+2367.92+2.02+783.38+23.77+1001.54+5.09+1075.04</f>
        <v>11322.05</v>
      </c>
      <c r="I19" s="301">
        <f>D19-H19</f>
        <v>24677.95</v>
      </c>
    </row>
    <row r="20" spans="1:9" s="69" customFormat="1" ht="60.75" customHeight="1">
      <c r="A20" s="249" t="s">
        <v>463</v>
      </c>
      <c r="B20" s="250" t="s">
        <v>44</v>
      </c>
      <c r="C20" s="184" t="s">
        <v>461</v>
      </c>
      <c r="D20" s="301"/>
      <c r="E20" s="301">
        <f>H20</f>
        <v>234.88</v>
      </c>
      <c r="F20" s="301"/>
      <c r="G20" s="301"/>
      <c r="H20" s="301">
        <f>234.88</f>
        <v>234.88</v>
      </c>
      <c r="I20" s="301">
        <f>D20-H20</f>
        <v>-234.88</v>
      </c>
    </row>
    <row r="21" spans="1:9" s="69" customFormat="1" ht="27.75" customHeight="1">
      <c r="A21" s="249" t="s">
        <v>283</v>
      </c>
      <c r="B21" s="250" t="s">
        <v>44</v>
      </c>
      <c r="C21" s="184" t="s">
        <v>462</v>
      </c>
      <c r="D21" s="301"/>
      <c r="E21" s="301">
        <f>H21</f>
        <v>120.63000000000001</v>
      </c>
      <c r="F21" s="301"/>
      <c r="G21" s="301"/>
      <c r="H21" s="301">
        <f>112.16+7.84+0.01+0.62</f>
        <v>120.63000000000001</v>
      </c>
      <c r="I21" s="301">
        <f>D21-H21</f>
        <v>-120.63000000000001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0" ref="D22:I22">D19+D20+D21</f>
        <v>36000</v>
      </c>
      <c r="E22" s="302">
        <f t="shared" si="0"/>
        <v>11677.559999999998</v>
      </c>
      <c r="F22" s="302">
        <f t="shared" si="0"/>
        <v>0</v>
      </c>
      <c r="G22" s="302">
        <f t="shared" si="0"/>
        <v>0</v>
      </c>
      <c r="H22" s="302">
        <f t="shared" si="0"/>
        <v>11677.559999999998</v>
      </c>
      <c r="I22" s="302">
        <f t="shared" si="0"/>
        <v>24322.44</v>
      </c>
    </row>
    <row r="23" spans="1:9" s="69" customFormat="1" ht="67.5" customHeight="1" hidden="1">
      <c r="A23" s="249" t="s">
        <v>199</v>
      </c>
      <c r="B23" s="250" t="s">
        <v>44</v>
      </c>
      <c r="C23" s="297" t="s">
        <v>203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200</v>
      </c>
      <c r="B24" s="250" t="s">
        <v>44</v>
      </c>
      <c r="C24" s="297" t="s">
        <v>204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201</v>
      </c>
      <c r="B25" s="250" t="s">
        <v>44</v>
      </c>
      <c r="C25" s="297" t="s">
        <v>205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202</v>
      </c>
      <c r="B26" s="250" t="s">
        <v>44</v>
      </c>
      <c r="C26" s="297" t="s">
        <v>206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188</v>
      </c>
      <c r="B28" s="250" t="s">
        <v>44</v>
      </c>
      <c r="C28" s="297" t="s">
        <v>198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189</v>
      </c>
      <c r="B29" s="250" t="s">
        <v>44</v>
      </c>
      <c r="C29" s="297" t="s">
        <v>187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223</v>
      </c>
      <c r="B34" s="250" t="s">
        <v>44</v>
      </c>
      <c r="C34" s="182" t="s">
        <v>385</v>
      </c>
      <c r="D34" s="301">
        <v>1000</v>
      </c>
      <c r="E34" s="301">
        <f>H34</f>
        <v>910.9099999999999</v>
      </c>
      <c r="F34" s="301"/>
      <c r="G34" s="301"/>
      <c r="H34" s="301">
        <f>2.81+907.8+0.3</f>
        <v>910.9099999999999</v>
      </c>
      <c r="I34" s="301">
        <f>D34-H34</f>
        <v>89.09000000000015</v>
      </c>
    </row>
    <row r="35" spans="1:9" s="21" customFormat="1" ht="23.25" customHeight="1" hidden="1">
      <c r="A35" s="249" t="s">
        <v>284</v>
      </c>
      <c r="B35" s="250" t="s">
        <v>44</v>
      </c>
      <c r="C35" s="184" t="s">
        <v>369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161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158</v>
      </c>
      <c r="B37" s="250" t="s">
        <v>44</v>
      </c>
      <c r="C37" s="297" t="s">
        <v>162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163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1" ref="D39:I39">D34</f>
        <v>1000</v>
      </c>
      <c r="E39" s="302">
        <f t="shared" si="1"/>
        <v>910.9099999999999</v>
      </c>
      <c r="F39" s="302">
        <f t="shared" si="1"/>
        <v>0</v>
      </c>
      <c r="G39" s="302">
        <f t="shared" si="1"/>
        <v>0</v>
      </c>
      <c r="H39" s="302">
        <f t="shared" si="1"/>
        <v>910.9099999999999</v>
      </c>
      <c r="I39" s="302">
        <f t="shared" si="1"/>
        <v>89.09000000000015</v>
      </c>
    </row>
    <row r="40" spans="1:9" s="21" customFormat="1" ht="22.5" customHeight="1">
      <c r="A40" s="249" t="s">
        <v>467</v>
      </c>
      <c r="B40" s="250" t="s">
        <v>44</v>
      </c>
      <c r="C40" s="234" t="s">
        <v>371</v>
      </c>
      <c r="D40" s="301">
        <v>26000</v>
      </c>
      <c r="E40" s="301">
        <f>H40</f>
        <v>263.07</v>
      </c>
      <c r="F40" s="301"/>
      <c r="G40" s="301"/>
      <c r="H40" s="301">
        <f>206.87+59+10.2+263+29.98+143.66-43+266.25+42.83-740.42+24.7</f>
        <v>263.07</v>
      </c>
      <c r="I40" s="301">
        <f>D40-H40</f>
        <v>25736.93</v>
      </c>
    </row>
    <row r="41" spans="1:9" s="21" customFormat="1" ht="22.5" customHeight="1">
      <c r="A41" s="253" t="s">
        <v>466</v>
      </c>
      <c r="B41" s="250" t="s">
        <v>44</v>
      </c>
      <c r="C41" s="184" t="s">
        <v>550</v>
      </c>
      <c r="D41" s="301"/>
      <c r="E41" s="301">
        <f>H41</f>
        <v>7.7299999999999995</v>
      </c>
      <c r="F41" s="301"/>
      <c r="G41" s="301"/>
      <c r="H41" s="301">
        <f>3.07+0.57+4.09</f>
        <v>7.7299999999999995</v>
      </c>
      <c r="I41" s="301">
        <f>D41-H41</f>
        <v>-7.7299999999999995</v>
      </c>
    </row>
    <row r="42" spans="1:9" s="21" customFormat="1" ht="22.5" customHeight="1">
      <c r="A42" s="249" t="s">
        <v>468</v>
      </c>
      <c r="B42" s="250" t="s">
        <v>44</v>
      </c>
      <c r="C42" s="235" t="s">
        <v>361</v>
      </c>
      <c r="D42" s="301">
        <v>253000</v>
      </c>
      <c r="E42" s="301">
        <f>H42</f>
        <v>62821.259999999995</v>
      </c>
      <c r="F42" s="301"/>
      <c r="G42" s="301"/>
      <c r="H42" s="301">
        <f>16808+46354.56-41.77+21402+298-1479.58+455.26-21089.3+274.89-160.8</f>
        <v>62821.259999999995</v>
      </c>
      <c r="I42" s="301">
        <f>D42-H42</f>
        <v>190178.74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110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469</v>
      </c>
      <c r="B44" s="250" t="s">
        <v>44</v>
      </c>
      <c r="C44" s="235" t="s">
        <v>362</v>
      </c>
      <c r="D44" s="301">
        <v>288000</v>
      </c>
      <c r="E44" s="301">
        <f>H44</f>
        <v>13709.289999999999</v>
      </c>
      <c r="F44" s="301"/>
      <c r="G44" s="301"/>
      <c r="H44" s="301">
        <f>2764+24.98+3666.27+49.44+322+50.08+986.91+80.96+0.91+265+81.94+5452.15-35.35</f>
        <v>13709.289999999999</v>
      </c>
      <c r="I44" s="301">
        <f>D44-H44</f>
        <v>274290.71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111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112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2" ref="D47:I47">D44+D42+D41+D40</f>
        <v>567000</v>
      </c>
      <c r="E47" s="302">
        <f t="shared" si="2"/>
        <v>76801.34999999999</v>
      </c>
      <c r="F47" s="302">
        <f t="shared" si="2"/>
        <v>0</v>
      </c>
      <c r="G47" s="302">
        <f t="shared" si="2"/>
        <v>0</v>
      </c>
      <c r="H47" s="302">
        <f t="shared" si="2"/>
        <v>76801.34999999999</v>
      </c>
      <c r="I47" s="302">
        <f t="shared" si="2"/>
        <v>490198.65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3" ref="D48:I48">D47+D39+D22</f>
        <v>604000</v>
      </c>
      <c r="E48" s="302">
        <f t="shared" si="3"/>
        <v>89389.81999999999</v>
      </c>
      <c r="F48" s="302">
        <f t="shared" si="3"/>
        <v>0</v>
      </c>
      <c r="G48" s="302">
        <f t="shared" si="3"/>
        <v>0</v>
      </c>
      <c r="H48" s="302">
        <f t="shared" si="3"/>
        <v>89389.81999999999</v>
      </c>
      <c r="I48" s="302">
        <f t="shared" si="3"/>
        <v>514610.18000000005</v>
      </c>
    </row>
    <row r="49" spans="1:9" s="21" customFormat="1" ht="78" customHeight="1" hidden="1">
      <c r="A49" s="248" t="s">
        <v>165</v>
      </c>
      <c r="B49" s="250" t="s">
        <v>44</v>
      </c>
      <c r="C49" s="182" t="s">
        <v>363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 hidden="1">
      <c r="A51" s="249" t="s">
        <v>470</v>
      </c>
      <c r="B51" s="250" t="s">
        <v>44</v>
      </c>
      <c r="C51" s="297" t="s">
        <v>173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 hidden="1">
      <c r="A52" s="249" t="s">
        <v>471</v>
      </c>
      <c r="B52" s="250" t="s">
        <v>44</v>
      </c>
      <c r="C52" s="297" t="s">
        <v>174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 hidden="1">
      <c r="A53" s="251" t="s">
        <v>95</v>
      </c>
      <c r="B53" s="251"/>
      <c r="C53" s="67">
        <v>182109</v>
      </c>
      <c r="D53" s="302">
        <f aca="true" t="shared" si="4" ref="D53:I53">D51+D52</f>
        <v>0</v>
      </c>
      <c r="E53" s="302">
        <f t="shared" si="4"/>
        <v>0</v>
      </c>
      <c r="F53" s="302">
        <f t="shared" si="4"/>
        <v>0</v>
      </c>
      <c r="G53" s="302">
        <f t="shared" si="4"/>
        <v>0</v>
      </c>
      <c r="H53" s="302">
        <f t="shared" si="4"/>
        <v>0</v>
      </c>
      <c r="I53" s="302">
        <f t="shared" si="4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181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165</v>
      </c>
      <c r="B55" s="250" t="s">
        <v>44</v>
      </c>
      <c r="C55" s="304" t="s">
        <v>183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472</v>
      </c>
      <c r="B56" s="250" t="s">
        <v>44</v>
      </c>
      <c r="C56" s="182" t="s">
        <v>364</v>
      </c>
      <c r="D56" s="301">
        <v>70800</v>
      </c>
      <c r="E56" s="301">
        <f>H56</f>
        <v>63159.66999999999</v>
      </c>
      <c r="F56" s="301"/>
      <c r="G56" s="301"/>
      <c r="H56" s="301">
        <f>1616.4+6601.44+8692.83+13765.6+17035+7724.2+7724.2</f>
        <v>63159.66999999999</v>
      </c>
      <c r="I56" s="301">
        <f>D56-H56</f>
        <v>7640.330000000009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5" ref="D57:I57">D56</f>
        <v>70800</v>
      </c>
      <c r="E57" s="302">
        <f t="shared" si="5"/>
        <v>63159.66999999999</v>
      </c>
      <c r="F57" s="302">
        <f t="shared" si="5"/>
        <v>0</v>
      </c>
      <c r="G57" s="302">
        <f t="shared" si="5"/>
        <v>0</v>
      </c>
      <c r="H57" s="302">
        <f t="shared" si="5"/>
        <v>63159.66999999999</v>
      </c>
      <c r="I57" s="302">
        <f t="shared" si="5"/>
        <v>7640.330000000009</v>
      </c>
    </row>
    <row r="58" spans="1:9" s="21" customFormat="1" ht="30.75" customHeight="1" hidden="1">
      <c r="A58" s="253" t="s">
        <v>160</v>
      </c>
      <c r="B58" s="250">
        <v>10</v>
      </c>
      <c r="C58" s="297" t="s">
        <v>159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227</v>
      </c>
      <c r="B60" s="250" t="s">
        <v>44</v>
      </c>
      <c r="C60" s="182" t="s">
        <v>365</v>
      </c>
      <c r="D60" s="301">
        <v>13500</v>
      </c>
      <c r="E60" s="301">
        <f>H60</f>
        <v>3727.06</v>
      </c>
      <c r="F60" s="301"/>
      <c r="G60" s="301"/>
      <c r="H60" s="301">
        <v>3727.06</v>
      </c>
      <c r="I60" s="301">
        <f>D60-H60</f>
        <v>9772.94</v>
      </c>
    </row>
    <row r="61" spans="1:9" s="21" customFormat="1" ht="15.75" customHeight="1">
      <c r="A61" s="251" t="s">
        <v>95</v>
      </c>
      <c r="B61" s="250"/>
      <c r="C61" s="86" t="s">
        <v>435</v>
      </c>
      <c r="D61" s="305">
        <f aca="true" t="shared" si="6" ref="D61:I61">D60</f>
        <v>13500</v>
      </c>
      <c r="E61" s="305">
        <f t="shared" si="6"/>
        <v>3727.06</v>
      </c>
      <c r="F61" s="305">
        <f t="shared" si="6"/>
        <v>0</v>
      </c>
      <c r="G61" s="305">
        <f t="shared" si="6"/>
        <v>0</v>
      </c>
      <c r="H61" s="305">
        <f t="shared" si="6"/>
        <v>3727.06</v>
      </c>
      <c r="I61" s="305">
        <f t="shared" si="6"/>
        <v>9772.94</v>
      </c>
    </row>
    <row r="62" spans="1:9" s="21" customFormat="1" ht="57" customHeight="1" hidden="1">
      <c r="A62" s="249" t="s">
        <v>196</v>
      </c>
      <c r="B62" s="253"/>
      <c r="C62" s="297" t="s">
        <v>197</v>
      </c>
      <c r="D62" s="301"/>
      <c r="E62" s="301"/>
      <c r="F62" s="301"/>
      <c r="G62" s="301"/>
      <c r="H62" s="301"/>
      <c r="I62" s="301"/>
    </row>
    <row r="63" spans="1:9" s="21" customFormat="1" ht="35.25" customHeight="1">
      <c r="A63" s="249" t="s">
        <v>434</v>
      </c>
      <c r="B63" s="250" t="s">
        <v>44</v>
      </c>
      <c r="C63" s="184" t="s">
        <v>433</v>
      </c>
      <c r="D63" s="301"/>
      <c r="E63" s="301">
        <f>H63</f>
        <v>397500</v>
      </c>
      <c r="F63" s="301"/>
      <c r="G63" s="301"/>
      <c r="H63" s="301">
        <f>318000+79500</f>
        <v>397500</v>
      </c>
      <c r="I63" s="301">
        <f>D63-H63</f>
        <v>-397500</v>
      </c>
    </row>
    <row r="64" spans="1:9" s="21" customFormat="1" ht="18" customHeight="1">
      <c r="A64" s="251" t="s">
        <v>95</v>
      </c>
      <c r="B64" s="251"/>
      <c r="C64" s="67">
        <v>866114</v>
      </c>
      <c r="D64" s="302">
        <f aca="true" t="shared" si="7" ref="D64:I64">D63</f>
        <v>0</v>
      </c>
      <c r="E64" s="302">
        <f t="shared" si="7"/>
        <v>397500</v>
      </c>
      <c r="F64" s="302">
        <f t="shared" si="7"/>
        <v>0</v>
      </c>
      <c r="G64" s="302">
        <f t="shared" si="7"/>
        <v>0</v>
      </c>
      <c r="H64" s="302">
        <f t="shared" si="7"/>
        <v>397500</v>
      </c>
      <c r="I64" s="302">
        <f t="shared" si="7"/>
        <v>-397500</v>
      </c>
    </row>
    <row r="65" spans="1:9" s="21" customFormat="1" ht="39.75" customHeight="1" hidden="1">
      <c r="A65" s="254" t="s">
        <v>464</v>
      </c>
      <c r="B65" s="251"/>
      <c r="C65" s="237" t="s">
        <v>465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 hidden="1">
      <c r="A66" s="251" t="s">
        <v>95</v>
      </c>
      <c r="B66" s="251"/>
      <c r="C66" s="67">
        <v>866116</v>
      </c>
      <c r="D66" s="302">
        <f aca="true" t="shared" si="8" ref="D66:I66">D65</f>
        <v>0</v>
      </c>
      <c r="E66" s="302">
        <f t="shared" si="8"/>
        <v>0</v>
      </c>
      <c r="F66" s="302">
        <f t="shared" si="8"/>
        <v>0</v>
      </c>
      <c r="G66" s="302">
        <f t="shared" si="8"/>
        <v>0</v>
      </c>
      <c r="H66" s="302">
        <f t="shared" si="8"/>
        <v>0</v>
      </c>
      <c r="I66" s="302">
        <f t="shared" si="8"/>
        <v>0</v>
      </c>
    </row>
    <row r="67" spans="1:9" s="21" customFormat="1" ht="21" customHeight="1">
      <c r="A67" s="249" t="s">
        <v>234</v>
      </c>
      <c r="B67" s="255" t="s">
        <v>44</v>
      </c>
      <c r="C67" s="298" t="s">
        <v>140</v>
      </c>
      <c r="D67" s="308">
        <v>0</v>
      </c>
      <c r="E67" s="301">
        <f>H67</f>
        <v>2875.46</v>
      </c>
      <c r="F67" s="301"/>
      <c r="G67" s="301"/>
      <c r="H67" s="301">
        <v>2875.46</v>
      </c>
      <c r="I67" s="301">
        <f>D67-H67</f>
        <v>-2875.46</v>
      </c>
    </row>
    <row r="68" spans="1:9" s="21" customFormat="1" ht="19.5" customHeight="1">
      <c r="A68" s="251" t="s">
        <v>95</v>
      </c>
      <c r="B68" s="251"/>
      <c r="C68" s="67">
        <v>866117</v>
      </c>
      <c r="D68" s="302">
        <f aca="true" t="shared" si="9" ref="D68:I68">D67</f>
        <v>0</v>
      </c>
      <c r="E68" s="302">
        <f t="shared" si="9"/>
        <v>2875.46</v>
      </c>
      <c r="F68" s="302">
        <f t="shared" si="9"/>
        <v>0</v>
      </c>
      <c r="G68" s="302">
        <f t="shared" si="9"/>
        <v>0</v>
      </c>
      <c r="H68" s="302">
        <f t="shared" si="9"/>
        <v>2875.46</v>
      </c>
      <c r="I68" s="302">
        <f t="shared" si="9"/>
        <v>-2875.46</v>
      </c>
    </row>
    <row r="69" spans="1:9" s="21" customFormat="1" ht="23.25" customHeight="1">
      <c r="A69" s="253" t="s">
        <v>473</v>
      </c>
      <c r="B69" s="250" t="s">
        <v>44</v>
      </c>
      <c r="C69" s="181" t="s">
        <v>396</v>
      </c>
      <c r="D69" s="301">
        <v>347687</v>
      </c>
      <c r="E69" s="301">
        <f>H69</f>
        <v>202818</v>
      </c>
      <c r="F69" s="301"/>
      <c r="G69" s="301"/>
      <c r="H69" s="301">
        <f>28974+28974+28974+28974+28974+28974+28974</f>
        <v>202818</v>
      </c>
      <c r="I69" s="301">
        <f>D69-H69</f>
        <v>144869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0" ref="E70:E87">H70</f>
        <v>0</v>
      </c>
      <c r="F70" s="301"/>
      <c r="G70" s="301"/>
      <c r="H70" s="301"/>
      <c r="I70" s="301">
        <f aca="true" t="shared" si="11" ref="I70:I87">D70-H70</f>
        <v>0</v>
      </c>
    </row>
    <row r="71" spans="1:9" s="21" customFormat="1" ht="18" customHeight="1">
      <c r="A71" s="253" t="s">
        <v>474</v>
      </c>
      <c r="B71" s="250" t="s">
        <v>44</v>
      </c>
      <c r="C71" s="181" t="s">
        <v>446</v>
      </c>
      <c r="D71" s="308">
        <v>83455</v>
      </c>
      <c r="E71" s="301">
        <f t="shared" si="10"/>
        <v>48685</v>
      </c>
      <c r="F71" s="301"/>
      <c r="G71" s="301"/>
      <c r="H71" s="301">
        <f>6955+6955+6955+6955+6955+6955+6955</f>
        <v>48685</v>
      </c>
      <c r="I71" s="301">
        <f t="shared" si="11"/>
        <v>34770</v>
      </c>
    </row>
    <row r="72" spans="1:9" s="21" customFormat="1" ht="32.25" customHeight="1" hidden="1">
      <c r="A72" s="249" t="s">
        <v>241</v>
      </c>
      <c r="B72" s="250" t="s">
        <v>44</v>
      </c>
      <c r="C72" s="297" t="s">
        <v>242</v>
      </c>
      <c r="D72" s="308"/>
      <c r="E72" s="301">
        <f t="shared" si="10"/>
        <v>0</v>
      </c>
      <c r="F72" s="301"/>
      <c r="G72" s="301"/>
      <c r="H72" s="301"/>
      <c r="I72" s="301">
        <f t="shared" si="11"/>
        <v>0</v>
      </c>
    </row>
    <row r="73" spans="1:9" s="21" customFormat="1" ht="39" customHeight="1" hidden="1">
      <c r="A73" s="249" t="s">
        <v>243</v>
      </c>
      <c r="B73" s="250" t="s">
        <v>44</v>
      </c>
      <c r="C73" s="297" t="s">
        <v>242</v>
      </c>
      <c r="D73" s="308"/>
      <c r="E73" s="301">
        <f t="shared" si="10"/>
        <v>0</v>
      </c>
      <c r="F73" s="301"/>
      <c r="G73" s="301"/>
      <c r="H73" s="301"/>
      <c r="I73" s="301">
        <f t="shared" si="11"/>
        <v>0</v>
      </c>
    </row>
    <row r="74" spans="1:9" s="21" customFormat="1" ht="21.75" customHeight="1" hidden="1">
      <c r="A74" s="249" t="s">
        <v>239</v>
      </c>
      <c r="B74" s="250" t="s">
        <v>44</v>
      </c>
      <c r="C74" s="297" t="s">
        <v>113</v>
      </c>
      <c r="D74" s="301"/>
      <c r="E74" s="301">
        <f t="shared" si="10"/>
        <v>0</v>
      </c>
      <c r="F74" s="301"/>
      <c r="G74" s="301"/>
      <c r="H74" s="301"/>
      <c r="I74" s="301">
        <f t="shared" si="11"/>
        <v>0</v>
      </c>
    </row>
    <row r="75" spans="1:9" s="21" customFormat="1" ht="61.5" customHeight="1" hidden="1">
      <c r="A75" s="327" t="s">
        <v>101</v>
      </c>
      <c r="B75" s="328"/>
      <c r="C75" s="297"/>
      <c r="D75" s="309"/>
      <c r="E75" s="301">
        <f t="shared" si="10"/>
        <v>0</v>
      </c>
      <c r="F75" s="301"/>
      <c r="G75" s="301"/>
      <c r="H75" s="301"/>
      <c r="I75" s="301">
        <f t="shared" si="11"/>
        <v>0</v>
      </c>
    </row>
    <row r="76" spans="1:9" s="21" customFormat="1" ht="27.75" customHeight="1" hidden="1">
      <c r="A76" s="249" t="s">
        <v>240</v>
      </c>
      <c r="B76" s="250" t="s">
        <v>44</v>
      </c>
      <c r="C76" s="297" t="s">
        <v>113</v>
      </c>
      <c r="D76" s="310"/>
      <c r="E76" s="301">
        <f t="shared" si="10"/>
        <v>0</v>
      </c>
      <c r="F76" s="301"/>
      <c r="G76" s="301"/>
      <c r="H76" s="301"/>
      <c r="I76" s="301">
        <f t="shared" si="11"/>
        <v>0</v>
      </c>
    </row>
    <row r="77" spans="1:9" s="21" customFormat="1" ht="59.25" customHeight="1" hidden="1">
      <c r="A77" s="327" t="s">
        <v>103</v>
      </c>
      <c r="B77" s="328"/>
      <c r="C77" s="297"/>
      <c r="D77" s="309"/>
      <c r="E77" s="301">
        <f t="shared" si="10"/>
        <v>0</v>
      </c>
      <c r="F77" s="301"/>
      <c r="G77" s="301"/>
      <c r="H77" s="301"/>
      <c r="I77" s="301">
        <f t="shared" si="11"/>
        <v>0</v>
      </c>
    </row>
    <row r="78" spans="1:9" s="21" customFormat="1" ht="61.5" customHeight="1" hidden="1">
      <c r="A78" s="327" t="s">
        <v>107</v>
      </c>
      <c r="B78" s="328"/>
      <c r="C78" s="297"/>
      <c r="D78" s="309"/>
      <c r="E78" s="301">
        <f t="shared" si="10"/>
        <v>0</v>
      </c>
      <c r="F78" s="301"/>
      <c r="G78" s="301"/>
      <c r="H78" s="301"/>
      <c r="I78" s="301">
        <f t="shared" si="11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0"/>
        <v>0</v>
      </c>
      <c r="F79" s="301"/>
      <c r="G79" s="301"/>
      <c r="H79" s="301"/>
      <c r="I79" s="301">
        <f t="shared" si="11"/>
        <v>0</v>
      </c>
    </row>
    <row r="80" spans="1:9" s="21" customFormat="1" ht="66" customHeight="1" hidden="1">
      <c r="A80" s="327" t="s">
        <v>115</v>
      </c>
      <c r="B80" s="328"/>
      <c r="C80" s="297"/>
      <c r="D80" s="309"/>
      <c r="E80" s="301">
        <f t="shared" si="10"/>
        <v>0</v>
      </c>
      <c r="F80" s="301"/>
      <c r="G80" s="301"/>
      <c r="H80" s="301"/>
      <c r="I80" s="301">
        <f t="shared" si="11"/>
        <v>0</v>
      </c>
    </row>
    <row r="81" spans="1:9" s="21" customFormat="1" ht="71.25" customHeight="1" hidden="1">
      <c r="A81" s="327" t="s">
        <v>137</v>
      </c>
      <c r="B81" s="328"/>
      <c r="C81" s="297"/>
      <c r="D81" s="309"/>
      <c r="E81" s="301">
        <f t="shared" si="10"/>
        <v>0</v>
      </c>
      <c r="F81" s="301"/>
      <c r="G81" s="301"/>
      <c r="H81" s="301"/>
      <c r="I81" s="301">
        <f t="shared" si="11"/>
        <v>0</v>
      </c>
    </row>
    <row r="82" spans="1:9" s="21" customFormat="1" ht="73.5" customHeight="1" hidden="1">
      <c r="A82" s="322" t="s">
        <v>148</v>
      </c>
      <c r="B82" s="323"/>
      <c r="C82" s="297"/>
      <c r="D82" s="309"/>
      <c r="E82" s="301">
        <f t="shared" si="10"/>
        <v>0</v>
      </c>
      <c r="F82" s="301"/>
      <c r="G82" s="301"/>
      <c r="H82" s="301"/>
      <c r="I82" s="301">
        <f t="shared" si="11"/>
        <v>0</v>
      </c>
    </row>
    <row r="83" spans="1:9" s="21" customFormat="1" ht="73.5" customHeight="1" hidden="1">
      <c r="A83" s="249" t="s">
        <v>191</v>
      </c>
      <c r="B83" s="250" t="s">
        <v>44</v>
      </c>
      <c r="C83" s="297" t="s">
        <v>113</v>
      </c>
      <c r="D83" s="301"/>
      <c r="E83" s="301">
        <f t="shared" si="10"/>
        <v>0</v>
      </c>
      <c r="F83" s="301"/>
      <c r="G83" s="301"/>
      <c r="H83" s="301"/>
      <c r="I83" s="301">
        <f t="shared" si="11"/>
        <v>0</v>
      </c>
    </row>
    <row r="84" spans="1:9" s="21" customFormat="1" ht="104.25" customHeight="1" hidden="1">
      <c r="A84" s="249" t="s">
        <v>222</v>
      </c>
      <c r="B84" s="250" t="s">
        <v>44</v>
      </c>
      <c r="C84" s="297" t="s">
        <v>221</v>
      </c>
      <c r="D84" s="301"/>
      <c r="E84" s="301">
        <f t="shared" si="10"/>
        <v>0</v>
      </c>
      <c r="F84" s="301"/>
      <c r="G84" s="301"/>
      <c r="H84" s="301"/>
      <c r="I84" s="301">
        <f t="shared" si="11"/>
        <v>0</v>
      </c>
    </row>
    <row r="85" spans="1:9" s="21" customFormat="1" ht="26.25" customHeight="1">
      <c r="A85" s="249" t="s">
        <v>475</v>
      </c>
      <c r="B85" s="250" t="s">
        <v>44</v>
      </c>
      <c r="C85" s="181" t="s">
        <v>397</v>
      </c>
      <c r="D85" s="301">
        <v>95096.72</v>
      </c>
      <c r="E85" s="301">
        <f t="shared" si="10"/>
        <v>75461.82</v>
      </c>
      <c r="F85" s="301"/>
      <c r="G85" s="301"/>
      <c r="H85" s="301">
        <f>23774.18+23774.18+27913.46</f>
        <v>75461.82</v>
      </c>
      <c r="I85" s="301">
        <f t="shared" si="11"/>
        <v>19634.899999999994</v>
      </c>
    </row>
    <row r="86" spans="1:9" s="21" customFormat="1" ht="24" hidden="1">
      <c r="A86" s="249" t="s">
        <v>228</v>
      </c>
      <c r="B86" s="250" t="s">
        <v>44</v>
      </c>
      <c r="C86" s="297" t="s">
        <v>401</v>
      </c>
      <c r="D86" s="301"/>
      <c r="E86" s="301">
        <f t="shared" si="10"/>
        <v>0</v>
      </c>
      <c r="F86" s="301"/>
      <c r="G86" s="301"/>
      <c r="H86" s="301"/>
      <c r="I86" s="301">
        <f t="shared" si="11"/>
        <v>0</v>
      </c>
    </row>
    <row r="87" spans="1:9" s="21" customFormat="1" ht="39" customHeight="1">
      <c r="A87" s="249" t="s">
        <v>231</v>
      </c>
      <c r="B87" s="250" t="s">
        <v>44</v>
      </c>
      <c r="C87" s="181" t="s">
        <v>398</v>
      </c>
      <c r="D87" s="301">
        <f>1891600+275051.58</f>
        <v>2166651.58</v>
      </c>
      <c r="E87" s="301">
        <f t="shared" si="10"/>
        <v>975707.1599999999</v>
      </c>
      <c r="F87" s="301"/>
      <c r="G87" s="301"/>
      <c r="H87" s="301">
        <f>168000+68000+75906+211896.08+228765.28+223139.8</f>
        <v>975707.1599999999</v>
      </c>
      <c r="I87" s="301">
        <f t="shared" si="11"/>
        <v>1190944.4200000002</v>
      </c>
    </row>
    <row r="88" spans="1:9" s="21" customFormat="1" ht="17.25" customHeight="1">
      <c r="A88" s="251" t="s">
        <v>95</v>
      </c>
      <c r="B88" s="251"/>
      <c r="C88" s="67">
        <v>866202</v>
      </c>
      <c r="D88" s="302">
        <f aca="true" t="shared" si="12" ref="D88:I88">D87+D85+D71+D69</f>
        <v>2692890.3000000003</v>
      </c>
      <c r="E88" s="302">
        <f>E87+E85+E71+E69</f>
        <v>1302671.98</v>
      </c>
      <c r="F88" s="302">
        <f t="shared" si="12"/>
        <v>0</v>
      </c>
      <c r="G88" s="302">
        <f t="shared" si="12"/>
        <v>0</v>
      </c>
      <c r="H88" s="302">
        <f t="shared" si="12"/>
        <v>1302671.98</v>
      </c>
      <c r="I88" s="302">
        <f t="shared" si="12"/>
        <v>1390218.32</v>
      </c>
    </row>
    <row r="89" spans="1:9" s="21" customFormat="1" ht="48" hidden="1">
      <c r="A89" s="32" t="s">
        <v>48</v>
      </c>
      <c r="B89" s="33" t="s">
        <v>44</v>
      </c>
      <c r="C89" s="34" t="s">
        <v>114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3" ref="D90:I90">SUM(D89:D89)</f>
        <v>0</v>
      </c>
      <c r="E90" s="65">
        <f t="shared" si="13"/>
        <v>0</v>
      </c>
      <c r="F90" s="65">
        <f t="shared" si="13"/>
        <v>0</v>
      </c>
      <c r="G90" s="65">
        <f t="shared" si="13"/>
        <v>0</v>
      </c>
      <c r="H90" s="65">
        <f t="shared" si="13"/>
        <v>0</v>
      </c>
      <c r="I90" s="65">
        <f t="shared" si="13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  <row r="95" ht="12.75">
      <c r="H95" s="321"/>
    </row>
  </sheetData>
  <sheetProtection/>
  <mergeCells count="17"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  <mergeCell ref="A82:B82"/>
    <mergeCell ref="E13:H13"/>
    <mergeCell ref="A75:B75"/>
    <mergeCell ref="A77:B77"/>
    <mergeCell ref="A78:B78"/>
    <mergeCell ref="A80:B80"/>
    <mergeCell ref="A81:B81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63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0"/>
  <sheetViews>
    <sheetView showGridLines="0" zoomScale="85" zoomScaleNormal="85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8" sqref="F38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4" t="s">
        <v>22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s="14" customFormat="1" ht="15.75">
      <c r="A2" s="49"/>
      <c r="B2" s="49"/>
      <c r="C2" s="49"/>
      <c r="D2" s="343" t="str">
        <f>'1. Доходы бюджета (1.12)'!C4</f>
        <v>на 01.08.2022 года</v>
      </c>
      <c r="E2" s="343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5" t="s">
        <v>4</v>
      </c>
      <c r="B4" s="339" t="s">
        <v>5</v>
      </c>
      <c r="C4" s="339" t="s">
        <v>24</v>
      </c>
      <c r="D4" s="339" t="s">
        <v>27</v>
      </c>
      <c r="E4" s="339" t="s">
        <v>26</v>
      </c>
      <c r="F4" s="339" t="s">
        <v>15</v>
      </c>
      <c r="G4" s="339"/>
      <c r="H4" s="339"/>
      <c r="I4" s="339"/>
      <c r="J4" s="339" t="s">
        <v>20</v>
      </c>
      <c r="K4" s="339" t="s">
        <v>20</v>
      </c>
    </row>
    <row r="5" spans="1:11" s="14" customFormat="1" ht="45" customHeight="1">
      <c r="A5" s="346"/>
      <c r="B5" s="340"/>
      <c r="C5" s="340"/>
      <c r="D5" s="340"/>
      <c r="E5" s="340"/>
      <c r="F5" s="340" t="s">
        <v>16</v>
      </c>
      <c r="G5" s="340" t="s">
        <v>17</v>
      </c>
      <c r="H5" s="340" t="s">
        <v>18</v>
      </c>
      <c r="I5" s="340" t="s">
        <v>19</v>
      </c>
      <c r="J5" s="340" t="s">
        <v>25</v>
      </c>
      <c r="K5" s="340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193</v>
      </c>
      <c r="D7" s="94">
        <f aca="true" t="shared" si="0" ref="D7:I7">D68+D81+D101+D122+D145+D156+D169+D177</f>
        <v>4460534.24</v>
      </c>
      <c r="E7" s="94">
        <f t="shared" si="0"/>
        <v>4460534.24</v>
      </c>
      <c r="F7" s="312">
        <f t="shared" si="0"/>
        <v>2151263.3899999997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2309270.8500000006</v>
      </c>
      <c r="K7" s="94">
        <f>E7-F7</f>
        <v>2309270.8500000006</v>
      </c>
      <c r="L7" s="81">
        <f>D7-F7</f>
        <v>2309270.8500000006</v>
      </c>
      <c r="M7" s="91">
        <f>K7-L7</f>
        <v>0</v>
      </c>
    </row>
    <row r="8" spans="1:11" s="21" customFormat="1" ht="36.75" customHeight="1">
      <c r="A8" s="270" t="s">
        <v>436</v>
      </c>
      <c r="B8" s="77"/>
      <c r="C8" s="80" t="s">
        <v>484</v>
      </c>
      <c r="D8" s="65">
        <f>D9+D10+D11</f>
        <v>481663</v>
      </c>
      <c r="E8" s="65">
        <f>E9+E10+E11</f>
        <v>481663</v>
      </c>
      <c r="F8" s="313">
        <f>F9+F10+F11</f>
        <v>236788.11000000002</v>
      </c>
      <c r="G8" s="65">
        <f>G9+G11</f>
        <v>0</v>
      </c>
      <c r="H8" s="65">
        <f>H9+H11</f>
        <v>0</v>
      </c>
      <c r="I8" s="65">
        <f>I9+I10+I11</f>
        <v>236788.11000000002</v>
      </c>
      <c r="J8" s="65">
        <f>J9+J11</f>
        <v>244874.88999999998</v>
      </c>
      <c r="K8" s="65">
        <f>K9+K11</f>
        <v>244874.88999999998</v>
      </c>
    </row>
    <row r="9" spans="1:11" s="21" customFormat="1" ht="20.25" customHeight="1">
      <c r="A9" s="60" t="s">
        <v>476</v>
      </c>
      <c r="B9" s="77"/>
      <c r="C9" s="273" t="s">
        <v>481</v>
      </c>
      <c r="D9" s="92">
        <f>200000+169941</f>
        <v>369941</v>
      </c>
      <c r="E9" s="92">
        <f>D9</f>
        <v>369941</v>
      </c>
      <c r="F9" s="314">
        <f>12000+12876.4+3643+12000+12877.4+3642+12000+19085.4+3973+12000+13950.45+3802+12000+13949.45+3803+12000+2856.4+2145+741+5699.37+12000</f>
        <v>187043.87000000002</v>
      </c>
      <c r="G9" s="92"/>
      <c r="H9" s="92"/>
      <c r="I9" s="65">
        <f>F9</f>
        <v>187043.87000000002</v>
      </c>
      <c r="J9" s="92">
        <f>D9-F9</f>
        <v>182897.12999999998</v>
      </c>
      <c r="K9" s="92">
        <f>E9-F9</f>
        <v>182897.12999999998</v>
      </c>
    </row>
    <row r="10" spans="1:11" s="21" customFormat="1" ht="30.75" customHeight="1">
      <c r="A10" s="201" t="s">
        <v>414</v>
      </c>
      <c r="B10" s="77"/>
      <c r="C10" s="273" t="s">
        <v>482</v>
      </c>
      <c r="D10" s="92">
        <v>0</v>
      </c>
      <c r="E10" s="92">
        <f>D10</f>
        <v>0</v>
      </c>
      <c r="F10" s="315">
        <v>0</v>
      </c>
      <c r="G10" s="92"/>
      <c r="H10" s="92"/>
      <c r="I10" s="65">
        <f>F10</f>
        <v>0</v>
      </c>
      <c r="J10" s="92">
        <f>D10-F10</f>
        <v>0</v>
      </c>
      <c r="K10" s="92"/>
    </row>
    <row r="11" spans="1:11" s="21" customFormat="1" ht="19.5" customHeight="1">
      <c r="A11" s="60" t="s">
        <v>52</v>
      </c>
      <c r="B11" s="77"/>
      <c r="C11" s="273" t="s">
        <v>483</v>
      </c>
      <c r="D11" s="92">
        <f>85000+26722</f>
        <v>111722</v>
      </c>
      <c r="E11" s="92">
        <f>D11</f>
        <v>111722</v>
      </c>
      <c r="F11" s="314">
        <f>6274.27+1454.49+827.06+57.04+6274.27+827.06+1454.49+57.04+6832.85+900.69+1583.98+62.12+6545.54+1517.37+862.82+59.5+6545.54+1517.37+862.82+59.5+3740.31+867.07+493.04+34+34</f>
        <v>49744.24</v>
      </c>
      <c r="G11" s="92"/>
      <c r="H11" s="92"/>
      <c r="I11" s="65">
        <f>F11</f>
        <v>49744.24</v>
      </c>
      <c r="J11" s="92">
        <f>D11-F11</f>
        <v>61977.76</v>
      </c>
      <c r="K11" s="92">
        <f>E11-F11</f>
        <v>61977.76</v>
      </c>
    </row>
    <row r="12" spans="1:11" s="59" customFormat="1" ht="35.25" customHeight="1">
      <c r="A12" s="272" t="s">
        <v>211</v>
      </c>
      <c r="B12" s="256"/>
      <c r="C12" s="257" t="s">
        <v>485</v>
      </c>
      <c r="D12" s="258">
        <f>D13+D14+D16+D28+D21</f>
        <v>1238087</v>
      </c>
      <c r="E12" s="258">
        <f>E13+E14+E16+E28+E21</f>
        <v>1238087</v>
      </c>
      <c r="F12" s="316">
        <f>F13+F14+F16+F28+F21</f>
        <v>679652.4200000002</v>
      </c>
      <c r="G12" s="258">
        <f>G13+G14+G16+G28</f>
        <v>0</v>
      </c>
      <c r="H12" s="258">
        <f>H13+H14+H16+H28</f>
        <v>0</v>
      </c>
      <c r="I12" s="258">
        <f>I13+I14+I16+I28</f>
        <v>637773.6100000001</v>
      </c>
      <c r="J12" s="258">
        <f>J13+J14+J16+J28</f>
        <v>519313.38999999996</v>
      </c>
      <c r="K12" s="258">
        <f>K13+K14+K16+K28</f>
        <v>523313.38999999996</v>
      </c>
    </row>
    <row r="13" spans="1:11" s="21" customFormat="1" ht="16.5" customHeight="1">
      <c r="A13" s="60" t="s">
        <v>51</v>
      </c>
      <c r="B13" s="61" t="s">
        <v>50</v>
      </c>
      <c r="C13" s="273" t="s">
        <v>486</v>
      </c>
      <c r="D13" s="92">
        <f>250000+359548-1478.04-33-2739.96-104012</f>
        <v>501285</v>
      </c>
      <c r="E13" s="92">
        <f>D13</f>
        <v>501285</v>
      </c>
      <c r="F13" s="314">
        <f>10000+2000+1500+1500+7135.55+3590+1294.5+1294.5+2824+2000+6000+1500+1500+2383.96+17617.23+4494+1747.5+1747.5+26019.97+2000+1500+1500+6000+6570+2696.5+7046.5+10629.99+6779.95+4596-2739.96+2000+1500+1500+6000+1566.74+1566.75+4075.56+8023.4+3503+2000+1500+1500+6000+1567.74+1567.75+4074.56+8024.4+3501+2000+1500+1500+6000+1822.74+1822.75+4646.51+8024.4+3664+2000+1500+1500+6000</f>
        <v>244178.99</v>
      </c>
      <c r="G13" s="62">
        <v>0</v>
      </c>
      <c r="H13" s="62">
        <v>0</v>
      </c>
      <c r="I13" s="62">
        <f aca="true" t="shared" si="1" ref="I13:I27">SUM(F13:H13)</f>
        <v>244178.99</v>
      </c>
      <c r="J13" s="62">
        <f>D13-F13</f>
        <v>257106.01</v>
      </c>
      <c r="K13" s="62">
        <f>E13-F13</f>
        <v>257106.01</v>
      </c>
    </row>
    <row r="14" spans="1:16" s="21" customFormat="1" ht="35.25" customHeight="1">
      <c r="A14" s="201" t="s">
        <v>414</v>
      </c>
      <c r="B14" s="61" t="s">
        <v>50</v>
      </c>
      <c r="C14" s="273" t="s">
        <v>487</v>
      </c>
      <c r="D14" s="92">
        <f>1478.04+33+2739.96</f>
        <v>4251</v>
      </c>
      <c r="E14" s="92">
        <f aca="true" t="shared" si="2" ref="E14:E26">D14</f>
        <v>4251</v>
      </c>
      <c r="F14" s="314">
        <f>1478.04+33+2739.96</f>
        <v>4251</v>
      </c>
      <c r="G14" s="62">
        <v>0</v>
      </c>
      <c r="H14" s="62">
        <v>0</v>
      </c>
      <c r="I14" s="62">
        <f t="shared" si="1"/>
        <v>4251</v>
      </c>
      <c r="J14" s="62">
        <f>D14-F14</f>
        <v>0</v>
      </c>
      <c r="K14" s="62">
        <f>E14-F14</f>
        <v>0</v>
      </c>
      <c r="P14" s="247"/>
    </row>
    <row r="15" spans="1:11" s="21" customFormat="1" ht="17.25" customHeight="1">
      <c r="A15" s="201"/>
      <c r="B15" s="61"/>
      <c r="C15" s="273" t="s">
        <v>432</v>
      </c>
      <c r="D15" s="92">
        <f aca="true" t="shared" si="3" ref="D15:K15">D13+D14</f>
        <v>505536</v>
      </c>
      <c r="E15" s="92">
        <f t="shared" si="3"/>
        <v>505536</v>
      </c>
      <c r="F15" s="314">
        <f t="shared" si="3"/>
        <v>248429.99</v>
      </c>
      <c r="G15" s="62">
        <f t="shared" si="3"/>
        <v>0</v>
      </c>
      <c r="H15" s="62">
        <f t="shared" si="3"/>
        <v>0</v>
      </c>
      <c r="I15" s="62">
        <f t="shared" si="3"/>
        <v>248429.99</v>
      </c>
      <c r="J15" s="62">
        <f t="shared" si="3"/>
        <v>257106.01</v>
      </c>
      <c r="K15" s="62">
        <f t="shared" si="3"/>
        <v>257106.01</v>
      </c>
    </row>
    <row r="16" spans="1:11" s="21" customFormat="1" ht="22.5" customHeight="1">
      <c r="A16" s="60" t="s">
        <v>52</v>
      </c>
      <c r="B16" s="61" t="s">
        <v>50</v>
      </c>
      <c r="C16" s="273" t="s">
        <v>488</v>
      </c>
      <c r="D16" s="92">
        <f>115000+69084-31411</f>
        <v>152673</v>
      </c>
      <c r="E16" s="92">
        <f>D16</f>
        <v>152673</v>
      </c>
      <c r="F16" s="314">
        <f>6772.16+1569.92+892.69+61.57+948.81+1965.76+310.69+13681.71+1803.5+3171.68+124.38+8395.41+1106.66+1946.21+76.32+6541.8+1516.5+862.33+59.47+6541.8+1516.5+862.33+59.47+6815.69+1580.01+898.43+61.96+61.96</f>
        <v>70205.72000000002</v>
      </c>
      <c r="G16" s="62">
        <v>0</v>
      </c>
      <c r="H16" s="62">
        <v>0</v>
      </c>
      <c r="I16" s="62">
        <f t="shared" si="1"/>
        <v>70205.72000000002</v>
      </c>
      <c r="J16" s="62">
        <f aca="true" t="shared" si="4" ref="J16:J27">D16-F16</f>
        <v>82467.27999999998</v>
      </c>
      <c r="K16" s="62">
        <f aca="true" t="shared" si="5" ref="K16:K27">E16-F16</f>
        <v>82467.27999999998</v>
      </c>
    </row>
    <row r="17" spans="1:11" s="21" customFormat="1" ht="16.5" customHeight="1">
      <c r="A17" s="271"/>
      <c r="B17" s="231"/>
      <c r="C17" s="263" t="s">
        <v>442</v>
      </c>
      <c r="D17" s="211">
        <f>D15+D16</f>
        <v>658209</v>
      </c>
      <c r="E17" s="211">
        <f>E15+E16</f>
        <v>658209</v>
      </c>
      <c r="F17" s="313">
        <f>F15+F16</f>
        <v>318635.71</v>
      </c>
      <c r="G17" s="211">
        <f>H15+H16</f>
        <v>0</v>
      </c>
      <c r="H17" s="211">
        <v>0</v>
      </c>
      <c r="I17" s="211">
        <f>I15+I16</f>
        <v>318635.71</v>
      </c>
      <c r="J17" s="211">
        <f>J15+J16</f>
        <v>339573.29</v>
      </c>
      <c r="K17" s="211">
        <f>K15+K16</f>
        <v>339573.29</v>
      </c>
    </row>
    <row r="18" spans="1:11" s="21" customFormat="1" ht="15" customHeight="1">
      <c r="A18" s="60" t="s">
        <v>460</v>
      </c>
      <c r="B18" s="61" t="s">
        <v>50</v>
      </c>
      <c r="C18" s="273" t="s">
        <v>489</v>
      </c>
      <c r="D18" s="92">
        <v>31800</v>
      </c>
      <c r="E18" s="92">
        <f t="shared" si="2"/>
        <v>31800</v>
      </c>
      <c r="F18" s="314">
        <f>1500+831.79+1500+747.24+1500+878+1500+736.39+1500+679.44+1500+795.22</f>
        <v>13668.079999999998</v>
      </c>
      <c r="G18" s="62">
        <v>0</v>
      </c>
      <c r="H18" s="62">
        <v>0</v>
      </c>
      <c r="I18" s="62">
        <f t="shared" si="1"/>
        <v>13668.079999999998</v>
      </c>
      <c r="J18" s="62">
        <f t="shared" si="4"/>
        <v>18131.920000000002</v>
      </c>
      <c r="K18" s="62">
        <f>E18-F18</f>
        <v>18131.920000000002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229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490</v>
      </c>
      <c r="D20" s="92">
        <v>3257.7</v>
      </c>
      <c r="E20" s="92">
        <f t="shared" si="2"/>
        <v>3257.7</v>
      </c>
      <c r="F20" s="314">
        <f>151.73+151.73+151.73+151.73+151.73+152.67</f>
        <v>911.3199999999999</v>
      </c>
      <c r="G20" s="62">
        <v>0</v>
      </c>
      <c r="H20" s="62">
        <v>0</v>
      </c>
      <c r="I20" s="62">
        <f t="shared" si="1"/>
        <v>911.3199999999999</v>
      </c>
      <c r="J20" s="62">
        <f t="shared" si="4"/>
        <v>2346.38</v>
      </c>
      <c r="K20" s="62">
        <f t="shared" si="5"/>
        <v>2346.38</v>
      </c>
    </row>
    <row r="21" spans="1:14" s="21" customFormat="1" ht="17.25" customHeight="1">
      <c r="A21" s="241" t="s">
        <v>54</v>
      </c>
      <c r="B21" s="242"/>
      <c r="C21" s="274" t="s">
        <v>491</v>
      </c>
      <c r="D21" s="279">
        <f>83000-6000</f>
        <v>77000</v>
      </c>
      <c r="E21" s="279">
        <f>D21</f>
        <v>77000</v>
      </c>
      <c r="F21" s="243">
        <f>1541.72+1522.23+25741.97+1142.52+1249.6+1726.81+1226.81+1000+1226.81+1000+3500.34+1000</f>
        <v>41878.81</v>
      </c>
      <c r="G21" s="243"/>
      <c r="H21" s="243"/>
      <c r="I21" s="243"/>
      <c r="J21" s="243"/>
      <c r="K21" s="243">
        <f>D21-F21</f>
        <v>35121.19</v>
      </c>
      <c r="N21" s="247"/>
    </row>
    <row r="22" spans="1:15" s="21" customFormat="1" ht="16.5" customHeight="1">
      <c r="A22" s="60" t="s">
        <v>55</v>
      </c>
      <c r="B22" s="61" t="s">
        <v>50</v>
      </c>
      <c r="C22" s="273" t="s">
        <v>492</v>
      </c>
      <c r="D22" s="92">
        <f>61442.3+135100-10000-2000</f>
        <v>184542.3</v>
      </c>
      <c r="E22" s="92">
        <f t="shared" si="2"/>
        <v>184542.3</v>
      </c>
      <c r="F22" s="314">
        <f>1638+2610+390+660+153+700+135044+2610+390+660+153+870+70.2+2610+390+660+153+580+390+2597.4+2610+390+660+153+70.2+2610+390+660+153+87+6+550+2610+390+660+153+87+6+70.2</f>
        <v>165644.00000000003</v>
      </c>
      <c r="G22" s="62">
        <v>0</v>
      </c>
      <c r="H22" s="62">
        <v>0</v>
      </c>
      <c r="I22" s="62">
        <f t="shared" si="1"/>
        <v>165644.00000000003</v>
      </c>
      <c r="J22" s="62">
        <f t="shared" si="4"/>
        <v>18898.29999999996</v>
      </c>
      <c r="K22" s="62">
        <f t="shared" si="5"/>
        <v>18898.29999999996</v>
      </c>
      <c r="O22" s="247"/>
    </row>
    <row r="23" spans="1:11" s="21" customFormat="1" ht="16.5" customHeight="1">
      <c r="A23" s="60" t="s">
        <v>56</v>
      </c>
      <c r="B23" s="61" t="s">
        <v>50</v>
      </c>
      <c r="C23" s="273" t="s">
        <v>493</v>
      </c>
      <c r="D23" s="92">
        <f>15000+15000+2000+140084+6000</f>
        <v>178084</v>
      </c>
      <c r="E23" s="92">
        <f t="shared" si="2"/>
        <v>178084</v>
      </c>
      <c r="F23" s="314">
        <f>3490+16269+2431+4114+953.7+4700+16269+2431+4114+953.7+542.3+37.4+16269+2431+4114+953.7+542.3+37.4</f>
        <v>80652.5</v>
      </c>
      <c r="G23" s="62">
        <v>0</v>
      </c>
      <c r="H23" s="62">
        <v>0</v>
      </c>
      <c r="I23" s="62">
        <f t="shared" si="1"/>
        <v>80652.5</v>
      </c>
      <c r="J23" s="62">
        <f t="shared" si="4"/>
        <v>97431.5</v>
      </c>
      <c r="K23" s="62">
        <f t="shared" si="5"/>
        <v>97431.5</v>
      </c>
    </row>
    <row r="24" spans="1:11" s="21" customFormat="1" ht="16.5" customHeight="1">
      <c r="A24" s="60" t="s">
        <v>443</v>
      </c>
      <c r="B24" s="61" t="s">
        <v>50</v>
      </c>
      <c r="C24" s="273" t="s">
        <v>494</v>
      </c>
      <c r="D24" s="92">
        <v>4000</v>
      </c>
      <c r="E24" s="92">
        <f t="shared" si="2"/>
        <v>4000</v>
      </c>
      <c r="F24" s="314"/>
      <c r="G24" s="62">
        <v>0</v>
      </c>
      <c r="H24" s="62">
        <v>0</v>
      </c>
      <c r="I24" s="62">
        <f t="shared" si="1"/>
        <v>0</v>
      </c>
      <c r="J24" s="62">
        <f t="shared" si="4"/>
        <v>4000</v>
      </c>
      <c r="K24" s="62">
        <f t="shared" si="5"/>
        <v>4000</v>
      </c>
    </row>
    <row r="25" spans="1:11" s="21" customFormat="1" ht="25.5" customHeight="1">
      <c r="A25" s="60" t="s">
        <v>150</v>
      </c>
      <c r="B25" s="61" t="s">
        <v>50</v>
      </c>
      <c r="C25" s="273" t="s">
        <v>495</v>
      </c>
      <c r="D25" s="92"/>
      <c r="E25" s="92">
        <f t="shared" si="2"/>
        <v>0</v>
      </c>
      <c r="F25" s="314"/>
      <c r="G25" s="62">
        <v>0</v>
      </c>
      <c r="H25" s="62">
        <v>0</v>
      </c>
      <c r="I25" s="62">
        <f t="shared" si="1"/>
        <v>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399</v>
      </c>
      <c r="B26" s="61" t="s">
        <v>50</v>
      </c>
      <c r="C26" s="273" t="s">
        <v>496</v>
      </c>
      <c r="D26" s="92">
        <f>30000+50000</f>
        <v>80000</v>
      </c>
      <c r="E26" s="92">
        <f t="shared" si="2"/>
        <v>80000</v>
      </c>
      <c r="F26" s="314">
        <f>7552+7552+7552+7552+7552+3776</f>
        <v>41536</v>
      </c>
      <c r="G26" s="62">
        <v>0</v>
      </c>
      <c r="H26" s="62">
        <v>0</v>
      </c>
      <c r="I26" s="62">
        <f t="shared" si="1"/>
        <v>41536</v>
      </c>
      <c r="J26" s="62">
        <f t="shared" si="4"/>
        <v>38464</v>
      </c>
      <c r="K26" s="62">
        <f t="shared" si="5"/>
        <v>38464</v>
      </c>
    </row>
    <row r="27" spans="1:14" s="21" customFormat="1" ht="30" customHeight="1">
      <c r="A27" s="60" t="s">
        <v>400</v>
      </c>
      <c r="B27" s="61" t="s">
        <v>50</v>
      </c>
      <c r="C27" s="273" t="s">
        <v>497</v>
      </c>
      <c r="D27" s="92">
        <f>10000+16194-5000</f>
        <v>21194</v>
      </c>
      <c r="E27" s="92">
        <f>D27</f>
        <v>21194</v>
      </c>
      <c r="F27" s="314">
        <f>5755+10441+530</f>
        <v>16726</v>
      </c>
      <c r="G27" s="62">
        <v>0</v>
      </c>
      <c r="H27" s="62">
        <v>0</v>
      </c>
      <c r="I27" s="62">
        <f t="shared" si="1"/>
        <v>16726</v>
      </c>
      <c r="J27" s="62">
        <f t="shared" si="4"/>
        <v>4468</v>
      </c>
      <c r="K27" s="62">
        <f t="shared" si="5"/>
        <v>4468</v>
      </c>
      <c r="N27" s="247"/>
    </row>
    <row r="28" spans="1:15" s="59" customFormat="1" ht="24.75" customHeight="1">
      <c r="A28" s="264" t="s">
        <v>282</v>
      </c>
      <c r="B28" s="70"/>
      <c r="C28" s="86" t="s">
        <v>498</v>
      </c>
      <c r="D28" s="102">
        <f>D18+D22+D23+D26+D27+D20+D24+D25</f>
        <v>502878</v>
      </c>
      <c r="E28" s="102">
        <f>E18+E22+E23+E26+E27+E20+E24+E25</f>
        <v>502878</v>
      </c>
      <c r="F28" s="317">
        <f>F18+F22+F23+F26+F27+F20+F25+F24</f>
        <v>319137.9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319137.9</v>
      </c>
      <c r="J28" s="102">
        <f>J18+J22+J23+J26+J27+J21+J20</f>
        <v>179740.09999999998</v>
      </c>
      <c r="K28" s="102">
        <f>D28-F28</f>
        <v>183740.09999999998</v>
      </c>
      <c r="O28" s="246"/>
    </row>
    <row r="29" spans="1:11" s="59" customFormat="1" ht="21.75" customHeight="1">
      <c r="A29" s="272" t="s">
        <v>219</v>
      </c>
      <c r="B29" s="256"/>
      <c r="C29" s="257" t="s">
        <v>499</v>
      </c>
      <c r="D29" s="258">
        <f>D30+D31+D32</f>
        <v>20840</v>
      </c>
      <c r="E29" s="258">
        <f aca="true" t="shared" si="6" ref="E29:K29">E30+E31+E32</f>
        <v>20840</v>
      </c>
      <c r="F29" s="316">
        <f t="shared" si="6"/>
        <v>9599</v>
      </c>
      <c r="G29" s="258">
        <f t="shared" si="6"/>
        <v>0</v>
      </c>
      <c r="H29" s="258">
        <f t="shared" si="6"/>
        <v>0</v>
      </c>
      <c r="I29" s="258">
        <f t="shared" si="6"/>
        <v>9599</v>
      </c>
      <c r="J29" s="258">
        <f t="shared" si="6"/>
        <v>11241</v>
      </c>
      <c r="K29" s="258">
        <f t="shared" si="6"/>
        <v>11241</v>
      </c>
    </row>
    <row r="30" spans="1:11" s="21" customFormat="1" ht="17.25" customHeight="1">
      <c r="A30" s="82" t="s">
        <v>377</v>
      </c>
      <c r="B30" s="61" t="s">
        <v>50</v>
      </c>
      <c r="C30" s="273" t="s">
        <v>500</v>
      </c>
      <c r="D30" s="92">
        <v>20000</v>
      </c>
      <c r="E30" s="92">
        <f>D30</f>
        <v>20000</v>
      </c>
      <c r="F30" s="314">
        <f>4579+4600</f>
        <v>9179</v>
      </c>
      <c r="G30" s="62">
        <v>0</v>
      </c>
      <c r="H30" s="62">
        <v>0</v>
      </c>
      <c r="I30" s="62">
        <f aca="true" t="shared" si="7" ref="I30:I38">SUM(F30:H30)</f>
        <v>9179</v>
      </c>
      <c r="J30" s="62">
        <f>D30-F30</f>
        <v>10821</v>
      </c>
      <c r="K30" s="62">
        <f>E30-F30</f>
        <v>10821</v>
      </c>
    </row>
    <row r="31" spans="1:11" s="21" customFormat="1" ht="22.5" customHeight="1">
      <c r="A31" s="82" t="s">
        <v>108</v>
      </c>
      <c r="B31" s="61" t="s">
        <v>50</v>
      </c>
      <c r="C31" s="273" t="s">
        <v>501</v>
      </c>
      <c r="D31" s="92">
        <v>840</v>
      </c>
      <c r="E31" s="92">
        <f>D31</f>
        <v>840</v>
      </c>
      <c r="F31" s="314">
        <f>210+210</f>
        <v>420</v>
      </c>
      <c r="G31" s="62">
        <v>0</v>
      </c>
      <c r="H31" s="62">
        <v>0</v>
      </c>
      <c r="I31" s="62">
        <f t="shared" si="7"/>
        <v>420</v>
      </c>
      <c r="J31" s="62">
        <f>D31-F31</f>
        <v>420</v>
      </c>
      <c r="K31" s="62">
        <f>E31-F31</f>
        <v>420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391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282</v>
      </c>
      <c r="B33" s="231"/>
      <c r="C33" s="263" t="s">
        <v>441</v>
      </c>
      <c r="D33" s="211">
        <f>D15+D16+D28+D29</f>
        <v>1181927</v>
      </c>
      <c r="E33" s="211">
        <f>E15+E16+E28+E29</f>
        <v>1181927</v>
      </c>
      <c r="F33" s="313">
        <f aca="true" t="shared" si="8" ref="F33:K33">F15+F16+F28+F29</f>
        <v>647372.6100000001</v>
      </c>
      <c r="G33" s="211">
        <f t="shared" si="8"/>
        <v>0</v>
      </c>
      <c r="H33" s="211">
        <f t="shared" si="8"/>
        <v>0</v>
      </c>
      <c r="I33" s="211">
        <f t="shared" si="8"/>
        <v>647372.6100000001</v>
      </c>
      <c r="J33" s="211">
        <f t="shared" si="8"/>
        <v>530554.3899999999</v>
      </c>
      <c r="K33" s="211">
        <f t="shared" si="8"/>
        <v>534554.3899999999</v>
      </c>
    </row>
    <row r="34" spans="1:11" s="21" customFormat="1" ht="29.25" customHeight="1">
      <c r="A34" s="266" t="s">
        <v>386</v>
      </c>
      <c r="B34" s="231"/>
      <c r="C34" s="257" t="s">
        <v>502</v>
      </c>
      <c r="D34" s="211">
        <f>D35+D36</f>
        <v>5600</v>
      </c>
      <c r="E34" s="211">
        <f>D34</f>
        <v>5600</v>
      </c>
      <c r="F34" s="313">
        <f>F35+F36</f>
        <v>2754.98</v>
      </c>
      <c r="G34" s="211">
        <f>G35</f>
        <v>0</v>
      </c>
      <c r="H34" s="211">
        <f>H35</f>
        <v>0</v>
      </c>
      <c r="I34" s="211">
        <f t="shared" si="7"/>
        <v>2754.98</v>
      </c>
      <c r="J34" s="211">
        <f>J35</f>
        <v>1100</v>
      </c>
      <c r="K34" s="211">
        <f>K35</f>
        <v>1100</v>
      </c>
    </row>
    <row r="35" spans="1:11" s="21" customFormat="1" ht="22.5" customHeight="1">
      <c r="A35" s="60" t="s">
        <v>56</v>
      </c>
      <c r="B35" s="61" t="s">
        <v>50</v>
      </c>
      <c r="C35" s="273" t="s">
        <v>503</v>
      </c>
      <c r="D35" s="92">
        <f>1600</f>
        <v>1600</v>
      </c>
      <c r="E35" s="92">
        <f>D35</f>
        <v>1600</v>
      </c>
      <c r="F35" s="314">
        <f>500</f>
        <v>500</v>
      </c>
      <c r="G35" s="62"/>
      <c r="H35" s="62"/>
      <c r="I35" s="62">
        <f t="shared" si="7"/>
        <v>500</v>
      </c>
      <c r="J35" s="62">
        <f>D35-F35</f>
        <v>1100</v>
      </c>
      <c r="K35" s="62">
        <f>E35-F35</f>
        <v>1100</v>
      </c>
    </row>
    <row r="36" spans="1:11" s="21" customFormat="1" ht="22.5" customHeight="1">
      <c r="A36" s="60" t="s">
        <v>56</v>
      </c>
      <c r="B36" s="61" t="s">
        <v>50</v>
      </c>
      <c r="C36" s="273" t="s">
        <v>504</v>
      </c>
      <c r="D36" s="92">
        <f>4000</f>
        <v>4000</v>
      </c>
      <c r="E36" s="92">
        <f>D36</f>
        <v>4000</v>
      </c>
      <c r="F36" s="314">
        <f>1260.48+994.5</f>
        <v>2254.98</v>
      </c>
      <c r="G36" s="62"/>
      <c r="H36" s="62"/>
      <c r="I36" s="62">
        <f t="shared" si="7"/>
        <v>2254.98</v>
      </c>
      <c r="J36" s="62"/>
      <c r="K36" s="62">
        <f>E36-F36</f>
        <v>1745.02</v>
      </c>
    </row>
    <row r="37" spans="1:11" s="21" customFormat="1" ht="18" customHeight="1">
      <c r="A37" s="266" t="s">
        <v>375</v>
      </c>
      <c r="B37" s="231"/>
      <c r="C37" s="257" t="s">
        <v>505</v>
      </c>
      <c r="D37" s="211">
        <f aca="true" t="shared" si="9" ref="D37:J37">D38</f>
        <v>5000</v>
      </c>
      <c r="E37" s="211">
        <f t="shared" si="9"/>
        <v>5000</v>
      </c>
      <c r="F37" s="313">
        <f t="shared" si="9"/>
        <v>5000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0</v>
      </c>
    </row>
    <row r="38" spans="1:11" s="21" customFormat="1" ht="22.5" customHeight="1">
      <c r="A38" s="82" t="s">
        <v>376</v>
      </c>
      <c r="B38" s="61" t="s">
        <v>50</v>
      </c>
      <c r="C38" s="273" t="s">
        <v>506</v>
      </c>
      <c r="D38" s="92">
        <v>5000</v>
      </c>
      <c r="E38" s="92">
        <f>D38</f>
        <v>5000</v>
      </c>
      <c r="F38" s="314">
        <v>5000</v>
      </c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0</v>
      </c>
    </row>
    <row r="39" spans="1:13" s="21" customFormat="1" ht="57.75" customHeight="1">
      <c r="A39" s="221" t="s">
        <v>267</v>
      </c>
      <c r="B39" s="212"/>
      <c r="C39" s="213" t="s">
        <v>93</v>
      </c>
      <c r="D39" s="214">
        <f>D8+D12+D29+D34+D38</f>
        <v>1751190</v>
      </c>
      <c r="E39" s="214">
        <f aca="true" t="shared" si="10" ref="E39:M39">E8+E12+E29+E34+E38</f>
        <v>1751190</v>
      </c>
      <c r="F39" s="313">
        <f t="shared" si="10"/>
        <v>933794.5100000001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780529.2799999999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274</v>
      </c>
      <c r="B40" s="61"/>
      <c r="C40" s="100" t="s">
        <v>507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224</v>
      </c>
      <c r="B41" s="61" t="s">
        <v>50</v>
      </c>
      <c r="C41" s="273" t="s">
        <v>508</v>
      </c>
      <c r="D41" s="92">
        <v>2000</v>
      </c>
      <c r="E41" s="92">
        <f>D41</f>
        <v>2000</v>
      </c>
      <c r="F41" s="314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7" t="s">
        <v>392</v>
      </c>
      <c r="B42" s="61"/>
      <c r="C42" s="198" t="s">
        <v>509</v>
      </c>
      <c r="D42" s="65">
        <f>D43</f>
        <v>300</v>
      </c>
      <c r="E42" s="65">
        <f>D42</f>
        <v>300</v>
      </c>
      <c r="F42" s="318">
        <f>F43</f>
        <v>0</v>
      </c>
      <c r="G42" s="87"/>
      <c r="H42" s="87"/>
      <c r="I42" s="87">
        <f>SUM(F42:H42)</f>
        <v>0</v>
      </c>
      <c r="J42" s="87">
        <f>D42-F42</f>
        <v>300</v>
      </c>
      <c r="K42" s="87">
        <f>E42-F42</f>
        <v>300</v>
      </c>
    </row>
    <row r="43" spans="1:11" s="21" customFormat="1" ht="28.5" customHeight="1">
      <c r="A43" s="89" t="s">
        <v>224</v>
      </c>
      <c r="B43" s="61" t="s">
        <v>50</v>
      </c>
      <c r="C43" s="273" t="s">
        <v>510</v>
      </c>
      <c r="D43" s="92">
        <v>300</v>
      </c>
      <c r="E43" s="92">
        <f>D43</f>
        <v>300</v>
      </c>
      <c r="F43" s="314"/>
      <c r="G43" s="62"/>
      <c r="H43" s="62"/>
      <c r="I43" s="62">
        <f>SUM(F43:H43)</f>
        <v>0</v>
      </c>
      <c r="J43" s="62">
        <f>D43-F43</f>
        <v>300</v>
      </c>
      <c r="K43" s="62">
        <f>E43-F43</f>
        <v>300</v>
      </c>
    </row>
    <row r="44" spans="1:13" s="21" customFormat="1" ht="40.5" customHeight="1">
      <c r="A44" s="221" t="s">
        <v>195</v>
      </c>
      <c r="B44" s="215"/>
      <c r="C44" s="216" t="s">
        <v>194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2000</v>
      </c>
      <c r="G44" s="214">
        <f t="shared" si="12"/>
        <v>0</v>
      </c>
      <c r="H44" s="214">
        <f t="shared" si="12"/>
        <v>0</v>
      </c>
      <c r="I44" s="214">
        <f t="shared" si="12"/>
        <v>2000</v>
      </c>
      <c r="J44" s="214">
        <f t="shared" si="12"/>
        <v>300</v>
      </c>
      <c r="K44" s="214">
        <f t="shared" si="12"/>
        <v>300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209</v>
      </c>
      <c r="B45" s="63"/>
      <c r="C45" s="200" t="s">
        <v>394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376</v>
      </c>
      <c r="B46" s="63"/>
      <c r="C46" s="273" t="s">
        <v>415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395</v>
      </c>
      <c r="B47" s="63"/>
      <c r="C47" s="273" t="s">
        <v>415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393</v>
      </c>
      <c r="B48" s="215"/>
      <c r="C48" s="216" t="s">
        <v>210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>
      <c r="A49" s="95" t="s">
        <v>275</v>
      </c>
      <c r="B49" s="63"/>
      <c r="C49" s="80" t="s">
        <v>511</v>
      </c>
      <c r="D49" s="65">
        <f aca="true" t="shared" si="14" ref="D49:K49">D50+D51</f>
        <v>20000</v>
      </c>
      <c r="E49" s="65">
        <f t="shared" si="14"/>
        <v>20000</v>
      </c>
      <c r="F49" s="313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20000</v>
      </c>
      <c r="K49" s="65">
        <f t="shared" si="14"/>
        <v>20000</v>
      </c>
    </row>
    <row r="50" spans="1:11" s="21" customFormat="1" ht="16.5" customHeight="1">
      <c r="A50" s="82" t="s">
        <v>56</v>
      </c>
      <c r="B50" s="61">
        <v>200</v>
      </c>
      <c r="C50" s="273" t="s">
        <v>512</v>
      </c>
      <c r="D50" s="92">
        <v>20000</v>
      </c>
      <c r="E50" s="92">
        <f>D50</f>
        <v>20000</v>
      </c>
      <c r="F50" s="315"/>
      <c r="G50" s="92">
        <v>0</v>
      </c>
      <c r="H50" s="92">
        <v>0</v>
      </c>
      <c r="I50" s="92">
        <f>F50+G50+H50</f>
        <v>0</v>
      </c>
      <c r="J50" s="92">
        <f>D50-F50</f>
        <v>20000</v>
      </c>
      <c r="K50" s="92">
        <f>E50-F50</f>
        <v>20000</v>
      </c>
    </row>
    <row r="51" spans="1:11" s="21" customFormat="1" ht="16.5" customHeight="1" hidden="1">
      <c r="A51" s="101" t="s">
        <v>376</v>
      </c>
      <c r="B51" s="61" t="s">
        <v>50</v>
      </c>
      <c r="C51" s="80" t="s">
        <v>454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377</v>
      </c>
      <c r="B52" s="61" t="s">
        <v>50</v>
      </c>
      <c r="C52" s="273" t="s">
        <v>457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186</v>
      </c>
      <c r="B53" s="63"/>
      <c r="C53" s="80" t="s">
        <v>384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378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276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190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387</v>
      </c>
      <c r="B57" s="61"/>
      <c r="C57" s="80" t="s">
        <v>388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376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377</v>
      </c>
      <c r="B59" s="61" t="s">
        <v>50</v>
      </c>
      <c r="C59" s="273" t="s">
        <v>390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184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185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212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277</v>
      </c>
      <c r="B63" s="61"/>
      <c r="C63" s="80" t="s">
        <v>513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0</v>
      </c>
      <c r="G63" s="79">
        <f t="shared" si="17"/>
        <v>0</v>
      </c>
      <c r="H63" s="79">
        <f t="shared" si="17"/>
        <v>0</v>
      </c>
      <c r="I63" s="79">
        <f t="shared" si="17"/>
        <v>0</v>
      </c>
      <c r="J63" s="79">
        <f t="shared" si="17"/>
        <v>500</v>
      </c>
      <c r="K63" s="79">
        <f t="shared" si="17"/>
        <v>500</v>
      </c>
    </row>
    <row r="64" spans="1:11" s="21" customFormat="1" ht="30.75" customHeight="1">
      <c r="A64" s="89" t="s">
        <v>224</v>
      </c>
      <c r="B64" s="61" t="s">
        <v>50</v>
      </c>
      <c r="C64" s="273" t="s">
        <v>514</v>
      </c>
      <c r="D64" s="92">
        <f>500</f>
        <v>500</v>
      </c>
      <c r="E64" s="92">
        <f>D64</f>
        <v>500</v>
      </c>
      <c r="F64" s="314"/>
      <c r="G64" s="62">
        <v>0</v>
      </c>
      <c r="H64" s="62">
        <v>0</v>
      </c>
      <c r="I64" s="62">
        <f>SUM(F64:H64)</f>
        <v>0</v>
      </c>
      <c r="J64" s="62">
        <f>D64-F64</f>
        <v>500</v>
      </c>
      <c r="K64" s="62">
        <f>E64-F64</f>
        <v>500</v>
      </c>
    </row>
    <row r="65" spans="1:11" s="21" customFormat="1" ht="28.5" customHeight="1" hidden="1">
      <c r="A65" s="95" t="s">
        <v>167</v>
      </c>
      <c r="B65" s="61"/>
      <c r="C65" s="100" t="s">
        <v>168</v>
      </c>
      <c r="D65" s="79">
        <f>SUM(D66:D66)</f>
        <v>0</v>
      </c>
      <c r="E65" s="79">
        <f aca="true" t="shared" si="18" ref="E65:K65">SUM(E66:E66)</f>
        <v>0</v>
      </c>
      <c r="F65" s="316">
        <f t="shared" si="18"/>
        <v>0</v>
      </c>
      <c r="G65" s="79">
        <f t="shared" si="18"/>
        <v>0</v>
      </c>
      <c r="H65" s="79">
        <f t="shared" si="18"/>
        <v>0</v>
      </c>
      <c r="I65" s="79">
        <f t="shared" si="18"/>
        <v>0</v>
      </c>
      <c r="J65" s="79">
        <f t="shared" si="18"/>
        <v>0</v>
      </c>
      <c r="K65" s="79">
        <f t="shared" si="18"/>
        <v>0</v>
      </c>
    </row>
    <row r="66" spans="1:11" s="21" customFormat="1" ht="22.5" customHeight="1" hidden="1">
      <c r="A66" s="89" t="s">
        <v>166</v>
      </c>
      <c r="B66" s="61" t="s">
        <v>50</v>
      </c>
      <c r="C66" s="273" t="s">
        <v>172</v>
      </c>
      <c r="D66" s="92">
        <v>0</v>
      </c>
      <c r="E66" s="92">
        <f>D66</f>
        <v>0</v>
      </c>
      <c r="F66" s="314">
        <v>0</v>
      </c>
      <c r="G66" s="62"/>
      <c r="H66" s="62"/>
      <c r="I66" s="62">
        <f>SUM(F66:H66)</f>
        <v>0</v>
      </c>
      <c r="J66" s="62">
        <f>D66-F66</f>
        <v>0</v>
      </c>
      <c r="K66" s="62">
        <f>E66-F66</f>
        <v>0</v>
      </c>
    </row>
    <row r="67" spans="1:11" s="21" customFormat="1" ht="29.25" customHeight="1">
      <c r="A67" s="232" t="s">
        <v>480</v>
      </c>
      <c r="B67" s="218"/>
      <c r="C67" s="228" t="s">
        <v>151</v>
      </c>
      <c r="D67" s="211">
        <f>D53+D57+D63+D49</f>
        <v>20500</v>
      </c>
      <c r="E67" s="211">
        <f aca="true" t="shared" si="19" ref="E67:K67">E53+E57+E63+E49</f>
        <v>20500</v>
      </c>
      <c r="F67" s="313">
        <f t="shared" si="19"/>
        <v>0</v>
      </c>
      <c r="G67" s="211">
        <f t="shared" si="19"/>
        <v>0</v>
      </c>
      <c r="H67" s="211">
        <f t="shared" si="19"/>
        <v>0</v>
      </c>
      <c r="I67" s="211">
        <f t="shared" si="19"/>
        <v>0</v>
      </c>
      <c r="J67" s="211">
        <f t="shared" si="19"/>
        <v>20500</v>
      </c>
      <c r="K67" s="211">
        <f t="shared" si="19"/>
        <v>20500</v>
      </c>
    </row>
    <row r="68" spans="1:13" s="21" customFormat="1" ht="25.5" customHeight="1">
      <c r="A68" s="267" t="s">
        <v>268</v>
      </c>
      <c r="B68" s="218"/>
      <c r="C68" s="210" t="s">
        <v>256</v>
      </c>
      <c r="D68" s="211">
        <f>D39+D44+D67+D48</f>
        <v>1773990</v>
      </c>
      <c r="E68" s="211">
        <f>E39+E44+E67+E48</f>
        <v>1773990</v>
      </c>
      <c r="F68" s="313">
        <f>F39+F44+F67+F48</f>
        <v>935794.5100000001</v>
      </c>
      <c r="G68" s="211" t="e">
        <f aca="true" t="shared" si="20" ref="G68:M68">G39+G44+G67+G48</f>
        <v>#REF!</v>
      </c>
      <c r="H68" s="211" t="e">
        <f t="shared" si="20"/>
        <v>#REF!</v>
      </c>
      <c r="I68" s="211" t="e">
        <f t="shared" si="20"/>
        <v>#REF!</v>
      </c>
      <c r="J68" s="211" t="e">
        <f t="shared" si="20"/>
        <v>#REF!</v>
      </c>
      <c r="K68" s="211">
        <f t="shared" si="20"/>
        <v>801329.2799999999</v>
      </c>
      <c r="L68" s="65">
        <f t="shared" si="20"/>
        <v>0</v>
      </c>
      <c r="M68" s="65">
        <f t="shared" si="20"/>
        <v>0</v>
      </c>
    </row>
    <row r="69" spans="1:15" s="59" customFormat="1" ht="43.5" customHeight="1">
      <c r="A69" s="95" t="s">
        <v>213</v>
      </c>
      <c r="B69" s="70"/>
      <c r="C69" s="80" t="s">
        <v>515</v>
      </c>
      <c r="D69" s="79">
        <f>D70+D71+D73+D76</f>
        <v>95096.72</v>
      </c>
      <c r="E69" s="79">
        <f aca="true" t="shared" si="21" ref="E69:K69">E70+E71+E73+E76</f>
        <v>95096.72</v>
      </c>
      <c r="F69" s="316">
        <f>F70+F71+F73+F76</f>
        <v>47920.06</v>
      </c>
      <c r="G69" s="79">
        <f t="shared" si="21"/>
        <v>0</v>
      </c>
      <c r="H69" s="79">
        <f t="shared" si="21"/>
        <v>0</v>
      </c>
      <c r="I69" s="79">
        <f t="shared" si="21"/>
        <v>47920.06</v>
      </c>
      <c r="J69" s="79">
        <f t="shared" si="21"/>
        <v>47176.66000000001</v>
      </c>
      <c r="K69" s="79">
        <f t="shared" si="21"/>
        <v>47176.66000000001</v>
      </c>
      <c r="O69" s="246"/>
    </row>
    <row r="70" spans="1:11" s="21" customFormat="1" ht="16.5" customHeight="1">
      <c r="A70" s="60" t="s">
        <v>51</v>
      </c>
      <c r="B70" s="61" t="s">
        <v>50</v>
      </c>
      <c r="C70" s="273" t="s">
        <v>516</v>
      </c>
      <c r="D70" s="92">
        <f>68000-953.98-142+3100</f>
        <v>70004.02</v>
      </c>
      <c r="E70" s="92">
        <f aca="true" t="shared" si="22" ref="E70:E76">D70</f>
        <v>70004.02</v>
      </c>
      <c r="F70" s="314">
        <f>2500+8624.1+1662+2500+2334.08+722+2500+730+2383.96+2500+2383.96+730+2500+2817.6+794+2500</f>
        <v>38181.7</v>
      </c>
      <c r="G70" s="62">
        <v>0</v>
      </c>
      <c r="H70" s="62">
        <v>0</v>
      </c>
      <c r="I70" s="62">
        <f aca="true" t="shared" si="23" ref="I70:I76">SUM(F70:H70)</f>
        <v>38181.7</v>
      </c>
      <c r="J70" s="62">
        <f aca="true" t="shared" si="24" ref="J70:J76">D70-F70</f>
        <v>31822.320000000007</v>
      </c>
      <c r="K70" s="62">
        <f aca="true" t="shared" si="25" ref="K70:K76">E70-F70</f>
        <v>31822.320000000007</v>
      </c>
    </row>
    <row r="71" spans="1:11" s="21" customFormat="1" ht="35.25" customHeight="1">
      <c r="A71" s="201" t="s">
        <v>414</v>
      </c>
      <c r="B71" s="61"/>
      <c r="C71" s="273" t="s">
        <v>547</v>
      </c>
      <c r="D71" s="92">
        <f>953.98+142</f>
        <v>1095.98</v>
      </c>
      <c r="E71" s="92">
        <f t="shared" si="22"/>
        <v>1095.98</v>
      </c>
      <c r="F71" s="314">
        <f>953.98+142</f>
        <v>1095.98</v>
      </c>
      <c r="G71" s="62"/>
      <c r="H71" s="62"/>
      <c r="I71" s="62">
        <f t="shared" si="23"/>
        <v>1095.98</v>
      </c>
      <c r="J71" s="62">
        <f t="shared" si="24"/>
        <v>0</v>
      </c>
      <c r="K71" s="62">
        <f t="shared" si="25"/>
        <v>0</v>
      </c>
    </row>
    <row r="72" spans="1:11" s="21" customFormat="1" ht="18" customHeight="1">
      <c r="A72" s="201"/>
      <c r="B72" s="61"/>
      <c r="C72" s="273" t="s">
        <v>432</v>
      </c>
      <c r="D72" s="92">
        <f>D70+D71</f>
        <v>71100</v>
      </c>
      <c r="E72" s="92">
        <f aca="true" t="shared" si="26" ref="E72:K72">E70+E71</f>
        <v>71100</v>
      </c>
      <c r="F72" s="315">
        <f t="shared" si="26"/>
        <v>39277.68</v>
      </c>
      <c r="G72" s="92">
        <f t="shared" si="26"/>
        <v>0</v>
      </c>
      <c r="H72" s="92">
        <f t="shared" si="26"/>
        <v>0</v>
      </c>
      <c r="I72" s="92">
        <f t="shared" si="26"/>
        <v>39277.68</v>
      </c>
      <c r="J72" s="92">
        <f t="shared" si="26"/>
        <v>31822.320000000007</v>
      </c>
      <c r="K72" s="92">
        <f t="shared" si="26"/>
        <v>31822.320000000007</v>
      </c>
    </row>
    <row r="73" spans="1:11" s="21" customFormat="1" ht="17.25" customHeight="1">
      <c r="A73" s="60" t="s">
        <v>52</v>
      </c>
      <c r="B73" s="61" t="s">
        <v>50</v>
      </c>
      <c r="C73" s="273" t="s">
        <v>517</v>
      </c>
      <c r="D73" s="92">
        <f>19400+2350</f>
        <v>21750</v>
      </c>
      <c r="E73" s="92">
        <f t="shared" si="22"/>
        <v>21750</v>
      </c>
      <c r="F73" s="314">
        <f>2594.39+341.99+601.43+23.59+1222.34+161.13+283.36+11.11+1235.07+286.31+162.8+11.23+1235.07+286.31+162.8+11.23+12.22</f>
        <v>8642.379999999997</v>
      </c>
      <c r="G73" s="62">
        <v>0</v>
      </c>
      <c r="H73" s="62">
        <v>0</v>
      </c>
      <c r="I73" s="62">
        <f t="shared" si="23"/>
        <v>8642.379999999997</v>
      </c>
      <c r="J73" s="62">
        <f t="shared" si="24"/>
        <v>13107.620000000003</v>
      </c>
      <c r="K73" s="62">
        <f t="shared" si="25"/>
        <v>13107.620000000003</v>
      </c>
    </row>
    <row r="74" spans="1:11" s="21" customFormat="1" ht="15" customHeight="1" hidden="1">
      <c r="A74" s="60" t="s">
        <v>56</v>
      </c>
      <c r="B74" s="61" t="s">
        <v>50</v>
      </c>
      <c r="C74" s="273" t="s">
        <v>164</v>
      </c>
      <c r="D74" s="92">
        <v>0</v>
      </c>
      <c r="E74" s="92">
        <f t="shared" si="22"/>
        <v>0</v>
      </c>
      <c r="F74" s="314"/>
      <c r="G74" s="62">
        <v>0</v>
      </c>
      <c r="H74" s="62">
        <v>0</v>
      </c>
      <c r="I74" s="62">
        <f t="shared" si="23"/>
        <v>0</v>
      </c>
      <c r="J74" s="62">
        <f t="shared" si="24"/>
        <v>0</v>
      </c>
      <c r="K74" s="62">
        <f t="shared" si="25"/>
        <v>0</v>
      </c>
    </row>
    <row r="75" spans="1:11" s="21" customFormat="1" ht="1.5" customHeight="1">
      <c r="A75" s="60" t="s">
        <v>150</v>
      </c>
      <c r="B75" s="61" t="s">
        <v>50</v>
      </c>
      <c r="C75" s="273" t="s">
        <v>518</v>
      </c>
      <c r="D75" s="92">
        <v>0</v>
      </c>
      <c r="E75" s="92">
        <f t="shared" si="22"/>
        <v>0</v>
      </c>
      <c r="F75" s="314"/>
      <c r="G75" s="62">
        <v>0</v>
      </c>
      <c r="H75" s="62">
        <v>0</v>
      </c>
      <c r="I75" s="62">
        <f t="shared" si="23"/>
        <v>0</v>
      </c>
      <c r="J75" s="62">
        <f t="shared" si="24"/>
        <v>0</v>
      </c>
      <c r="K75" s="62">
        <f t="shared" si="25"/>
        <v>0</v>
      </c>
    </row>
    <row r="76" spans="1:11" s="21" customFormat="1" ht="18.75" customHeight="1">
      <c r="A76" s="60" t="s">
        <v>58</v>
      </c>
      <c r="B76" s="61" t="s">
        <v>50</v>
      </c>
      <c r="C76" s="273" t="s">
        <v>519</v>
      </c>
      <c r="D76" s="92">
        <f>7696.72-5450</f>
        <v>2246.7200000000003</v>
      </c>
      <c r="E76" s="92">
        <f t="shared" si="22"/>
        <v>2246.7200000000003</v>
      </c>
      <c r="F76" s="314"/>
      <c r="G76" s="62">
        <v>0</v>
      </c>
      <c r="H76" s="62">
        <v>0</v>
      </c>
      <c r="I76" s="62">
        <f t="shared" si="23"/>
        <v>0</v>
      </c>
      <c r="J76" s="62">
        <f t="shared" si="24"/>
        <v>2246.7200000000003</v>
      </c>
      <c r="K76" s="62">
        <f t="shared" si="25"/>
        <v>2246.7200000000003</v>
      </c>
    </row>
    <row r="77" spans="1:11" s="21" customFormat="1" ht="16.5" customHeight="1" hidden="1">
      <c r="A77" s="227" t="s">
        <v>269</v>
      </c>
      <c r="B77" s="218"/>
      <c r="C77" s="228" t="s">
        <v>89</v>
      </c>
      <c r="D77" s="211">
        <f>D70+D71+D73+D76</f>
        <v>95096.72</v>
      </c>
      <c r="E77" s="211">
        <f aca="true" t="shared" si="27" ref="E77:K77">E70+E71+E73+E76</f>
        <v>95096.72</v>
      </c>
      <c r="F77" s="313">
        <f t="shared" si="27"/>
        <v>47920.06</v>
      </c>
      <c r="G77" s="211">
        <f t="shared" si="27"/>
        <v>0</v>
      </c>
      <c r="H77" s="211">
        <f t="shared" si="27"/>
        <v>0</v>
      </c>
      <c r="I77" s="211">
        <f t="shared" si="27"/>
        <v>47920.06</v>
      </c>
      <c r="J77" s="211">
        <f t="shared" si="27"/>
        <v>47176.66000000001</v>
      </c>
      <c r="K77" s="211">
        <f t="shared" si="27"/>
        <v>47176.66000000001</v>
      </c>
    </row>
    <row r="78" spans="1:11" s="21" customFormat="1" ht="46.5" customHeight="1" hidden="1">
      <c r="A78" s="95" t="s">
        <v>208</v>
      </c>
      <c r="B78" s="61"/>
      <c r="C78" s="100" t="s">
        <v>207</v>
      </c>
      <c r="D78" s="79">
        <f aca="true" t="shared" si="28" ref="D78:K78">SUM(D79:D79)</f>
        <v>0</v>
      </c>
      <c r="E78" s="79">
        <f t="shared" si="28"/>
        <v>0</v>
      </c>
      <c r="F78" s="316">
        <f t="shared" si="28"/>
        <v>0</v>
      </c>
      <c r="G78" s="79">
        <f t="shared" si="28"/>
        <v>0</v>
      </c>
      <c r="H78" s="79">
        <f t="shared" si="28"/>
        <v>0</v>
      </c>
      <c r="I78" s="79">
        <f t="shared" si="28"/>
        <v>0</v>
      </c>
      <c r="J78" s="79">
        <f t="shared" si="28"/>
        <v>0</v>
      </c>
      <c r="K78" s="79">
        <f t="shared" si="28"/>
        <v>0</v>
      </c>
    </row>
    <row r="79" spans="1:11" s="21" customFormat="1" ht="21.75" customHeight="1" hidden="1">
      <c r="A79" s="89" t="s">
        <v>166</v>
      </c>
      <c r="B79" s="61">
        <v>200</v>
      </c>
      <c r="C79" s="273" t="s">
        <v>220</v>
      </c>
      <c r="D79" s="92">
        <v>0</v>
      </c>
      <c r="E79" s="92">
        <f>D79</f>
        <v>0</v>
      </c>
      <c r="F79" s="314">
        <v>0</v>
      </c>
      <c r="G79" s="62">
        <v>0</v>
      </c>
      <c r="H79" s="62">
        <v>0</v>
      </c>
      <c r="I79" s="62">
        <f>SUM(F79:H79)</f>
        <v>0</v>
      </c>
      <c r="J79" s="62">
        <f>D79-F79</f>
        <v>0</v>
      </c>
      <c r="K79" s="62">
        <f>E79-F79</f>
        <v>0</v>
      </c>
    </row>
    <row r="80" spans="1:11" s="21" customFormat="1" ht="30" customHeight="1" hidden="1">
      <c r="A80" s="268" t="s">
        <v>156</v>
      </c>
      <c r="B80" s="63"/>
      <c r="C80" s="64" t="s">
        <v>157</v>
      </c>
      <c r="D80" s="65">
        <f aca="true" t="shared" si="29" ref="D80:K80">D79</f>
        <v>0</v>
      </c>
      <c r="E80" s="65">
        <f t="shared" si="29"/>
        <v>0</v>
      </c>
      <c r="F80" s="313">
        <f>F78</f>
        <v>0</v>
      </c>
      <c r="G80" s="65">
        <f t="shared" si="29"/>
        <v>0</v>
      </c>
      <c r="H80" s="65">
        <f t="shared" si="29"/>
        <v>0</v>
      </c>
      <c r="I80" s="65">
        <f t="shared" si="29"/>
        <v>0</v>
      </c>
      <c r="J80" s="65">
        <f t="shared" si="29"/>
        <v>0</v>
      </c>
      <c r="K80" s="65">
        <f t="shared" si="29"/>
        <v>0</v>
      </c>
    </row>
    <row r="81" spans="1:11" s="21" customFormat="1" ht="30" customHeight="1">
      <c r="A81" s="232" t="s">
        <v>258</v>
      </c>
      <c r="B81" s="218"/>
      <c r="C81" s="210" t="s">
        <v>257</v>
      </c>
      <c r="D81" s="211">
        <f aca="true" t="shared" si="30" ref="D81:I81">D77</f>
        <v>95096.72</v>
      </c>
      <c r="E81" s="211">
        <f t="shared" si="30"/>
        <v>95096.72</v>
      </c>
      <c r="F81" s="313">
        <f t="shared" si="30"/>
        <v>47920.06</v>
      </c>
      <c r="G81" s="211">
        <f t="shared" si="30"/>
        <v>0</v>
      </c>
      <c r="H81" s="211">
        <f t="shared" si="30"/>
        <v>0</v>
      </c>
      <c r="I81" s="211">
        <f t="shared" si="30"/>
        <v>47920.06</v>
      </c>
      <c r="J81" s="211">
        <f>D81-F81</f>
        <v>47176.66</v>
      </c>
      <c r="K81" s="211">
        <f>E81-F81</f>
        <v>47176.66</v>
      </c>
    </row>
    <row r="82" spans="1:11" s="59" customFormat="1" ht="19.5" customHeight="1">
      <c r="A82" s="95" t="s">
        <v>214</v>
      </c>
      <c r="B82" s="70"/>
      <c r="C82" s="80" t="s">
        <v>520</v>
      </c>
      <c r="D82" s="79">
        <f>SUM(D83:D86)</f>
        <v>20000</v>
      </c>
      <c r="E82" s="79">
        <f>SUM(E83:E86)</f>
        <v>20000</v>
      </c>
      <c r="F82" s="316">
        <f>F84+F85+F86</f>
        <v>5994.34</v>
      </c>
      <c r="G82" s="79">
        <f>SUM(G83:G86)</f>
        <v>0</v>
      </c>
      <c r="H82" s="79">
        <f>SUM(H83:H86)</f>
        <v>0</v>
      </c>
      <c r="I82" s="79">
        <f>SUM(I84:I86)</f>
        <v>5994.34</v>
      </c>
      <c r="J82" s="79">
        <f>SUM(J83:J86)</f>
        <v>14005.66</v>
      </c>
      <c r="K82" s="79">
        <f>SUM(K83:K86)</f>
        <v>14005.66</v>
      </c>
    </row>
    <row r="83" spans="1:11" s="59" customFormat="1" ht="16.5" customHeight="1" hidden="1">
      <c r="A83" s="60" t="s">
        <v>169</v>
      </c>
      <c r="B83" s="88" t="s">
        <v>50</v>
      </c>
      <c r="C83" s="275" t="s">
        <v>215</v>
      </c>
      <c r="D83" s="92">
        <v>0</v>
      </c>
      <c r="E83" s="92">
        <f>D83</f>
        <v>0</v>
      </c>
      <c r="F83" s="314">
        <v>0</v>
      </c>
      <c r="G83" s="62"/>
      <c r="H83" s="62"/>
      <c r="I83" s="62">
        <f>SUM(F83:H83)</f>
        <v>0</v>
      </c>
      <c r="J83" s="62">
        <f>D83-F83</f>
        <v>0</v>
      </c>
      <c r="K83" s="62">
        <f>E83-F83</f>
        <v>0</v>
      </c>
    </row>
    <row r="84" spans="1:11" s="21" customFormat="1" ht="16.5" customHeight="1">
      <c r="A84" s="60" t="s">
        <v>56</v>
      </c>
      <c r="B84" s="61" t="s">
        <v>50</v>
      </c>
      <c r="C84" s="273" t="s">
        <v>521</v>
      </c>
      <c r="D84" s="92">
        <v>20000</v>
      </c>
      <c r="E84" s="92">
        <f>D84</f>
        <v>20000</v>
      </c>
      <c r="F84" s="314">
        <f>5994.34</f>
        <v>5994.34</v>
      </c>
      <c r="G84" s="62">
        <v>0</v>
      </c>
      <c r="H84" s="62">
        <v>0</v>
      </c>
      <c r="I84" s="62">
        <f>SUM(F84:H84)</f>
        <v>5994.34</v>
      </c>
      <c r="J84" s="62">
        <f>D84-F84</f>
        <v>14005.66</v>
      </c>
      <c r="K84" s="62">
        <f>E84-F84</f>
        <v>14005.66</v>
      </c>
    </row>
    <row r="85" spans="1:11" s="21" customFormat="1" ht="16.5" customHeight="1" hidden="1">
      <c r="A85" s="60" t="s">
        <v>182</v>
      </c>
      <c r="B85" s="61" t="s">
        <v>50</v>
      </c>
      <c r="C85" s="273" t="s">
        <v>278</v>
      </c>
      <c r="D85" s="92">
        <v>0</v>
      </c>
      <c r="E85" s="92">
        <f>D85</f>
        <v>0</v>
      </c>
      <c r="F85" s="314"/>
      <c r="G85" s="62">
        <v>0</v>
      </c>
      <c r="H85" s="62">
        <v>0</v>
      </c>
      <c r="I85" s="62">
        <f aca="true" t="shared" si="31" ref="I85:I113">SUM(F85:H85)</f>
        <v>0</v>
      </c>
      <c r="J85" s="62">
        <f>D85-F85</f>
        <v>0</v>
      </c>
      <c r="K85" s="62">
        <f>E85-F85</f>
        <v>0</v>
      </c>
    </row>
    <row r="86" spans="1:11" s="21" customFormat="1" ht="18" customHeight="1">
      <c r="A86" s="60" t="s">
        <v>58</v>
      </c>
      <c r="B86" s="61" t="s">
        <v>50</v>
      </c>
      <c r="C86" s="273" t="s">
        <v>522</v>
      </c>
      <c r="D86" s="92"/>
      <c r="E86" s="92">
        <f>D86</f>
        <v>0</v>
      </c>
      <c r="F86" s="314"/>
      <c r="G86" s="62">
        <v>0</v>
      </c>
      <c r="H86" s="62">
        <v>0</v>
      </c>
      <c r="I86" s="62">
        <f t="shared" si="31"/>
        <v>0</v>
      </c>
      <c r="J86" s="62">
        <f>D86-F86</f>
        <v>0</v>
      </c>
      <c r="K86" s="62">
        <f>E86-F86</f>
        <v>0</v>
      </c>
    </row>
    <row r="87" spans="1:11" s="21" customFormat="1" ht="17.25" customHeight="1">
      <c r="A87" s="232" t="s">
        <v>479</v>
      </c>
      <c r="B87" s="218"/>
      <c r="C87" s="228" t="s">
        <v>90</v>
      </c>
      <c r="D87" s="211">
        <f>D82</f>
        <v>20000</v>
      </c>
      <c r="E87" s="211">
        <f aca="true" t="shared" si="32" ref="E87:K87">E82</f>
        <v>20000</v>
      </c>
      <c r="F87" s="313">
        <f>F82</f>
        <v>5994.34</v>
      </c>
      <c r="G87" s="211">
        <f t="shared" si="32"/>
        <v>0</v>
      </c>
      <c r="H87" s="211">
        <f t="shared" si="32"/>
        <v>0</v>
      </c>
      <c r="I87" s="229">
        <f t="shared" si="31"/>
        <v>5994.34</v>
      </c>
      <c r="J87" s="211">
        <f t="shared" si="32"/>
        <v>14005.66</v>
      </c>
      <c r="K87" s="211">
        <f t="shared" si="32"/>
        <v>14005.66</v>
      </c>
    </row>
    <row r="88" spans="1:11" s="59" customFormat="1" ht="0.75" customHeight="1">
      <c r="A88" s="95" t="s">
        <v>175</v>
      </c>
      <c r="B88" s="90"/>
      <c r="C88" s="80" t="s">
        <v>176</v>
      </c>
      <c r="D88" s="79">
        <f>SUM(D89:D89)</f>
        <v>0</v>
      </c>
      <c r="E88" s="79">
        <f aca="true" t="shared" si="33" ref="E88:K88">SUM(E89:E89)</f>
        <v>0</v>
      </c>
      <c r="F88" s="316">
        <f t="shared" si="33"/>
        <v>0</v>
      </c>
      <c r="G88" s="79">
        <f t="shared" si="33"/>
        <v>0</v>
      </c>
      <c r="H88" s="79">
        <f t="shared" si="33"/>
        <v>0</v>
      </c>
      <c r="I88" s="62">
        <f t="shared" si="31"/>
        <v>0</v>
      </c>
      <c r="J88" s="79">
        <f t="shared" si="33"/>
        <v>0</v>
      </c>
      <c r="K88" s="79">
        <f t="shared" si="33"/>
        <v>0</v>
      </c>
    </row>
    <row r="89" spans="1:11" s="21" customFormat="1" ht="66" customHeight="1" hidden="1">
      <c r="A89" s="60" t="s">
        <v>179</v>
      </c>
      <c r="B89" s="61" t="s">
        <v>50</v>
      </c>
      <c r="C89" s="273" t="s">
        <v>177</v>
      </c>
      <c r="D89" s="92">
        <v>0</v>
      </c>
      <c r="E89" s="92">
        <f>D89</f>
        <v>0</v>
      </c>
      <c r="F89" s="314">
        <v>0</v>
      </c>
      <c r="G89" s="62">
        <v>0</v>
      </c>
      <c r="H89" s="62">
        <v>0</v>
      </c>
      <c r="I89" s="62">
        <f t="shared" si="31"/>
        <v>0</v>
      </c>
      <c r="J89" s="62">
        <f>D89-F89</f>
        <v>0</v>
      </c>
      <c r="K89" s="62">
        <f>E89-F89</f>
        <v>0</v>
      </c>
    </row>
    <row r="90" spans="1:11" s="59" customFormat="1" ht="6" customHeight="1" hidden="1">
      <c r="A90" s="95" t="s">
        <v>178</v>
      </c>
      <c r="B90" s="70"/>
      <c r="C90" s="80" t="s">
        <v>116</v>
      </c>
      <c r="D90" s="79">
        <f aca="true" t="shared" si="34" ref="D90:K90">SUM(D91:D91)</f>
        <v>0</v>
      </c>
      <c r="E90" s="79">
        <f t="shared" si="34"/>
        <v>0</v>
      </c>
      <c r="F90" s="316">
        <f t="shared" si="34"/>
        <v>0</v>
      </c>
      <c r="G90" s="79">
        <f t="shared" si="34"/>
        <v>0</v>
      </c>
      <c r="H90" s="79">
        <f t="shared" si="34"/>
        <v>0</v>
      </c>
      <c r="I90" s="62">
        <f t="shared" si="31"/>
        <v>0</v>
      </c>
      <c r="J90" s="79">
        <f t="shared" si="34"/>
        <v>0</v>
      </c>
      <c r="K90" s="79">
        <f t="shared" si="34"/>
        <v>0</v>
      </c>
    </row>
    <row r="91" spans="1:11" s="21" customFormat="1" ht="6" customHeight="1" hidden="1">
      <c r="A91" s="60" t="s">
        <v>179</v>
      </c>
      <c r="B91" s="61" t="s">
        <v>50</v>
      </c>
      <c r="C91" s="273" t="s">
        <v>128</v>
      </c>
      <c r="D91" s="92">
        <f>400-400</f>
        <v>0</v>
      </c>
      <c r="E91" s="92">
        <f>D91</f>
        <v>0</v>
      </c>
      <c r="F91" s="314">
        <v>0</v>
      </c>
      <c r="G91" s="62">
        <v>0</v>
      </c>
      <c r="H91" s="62">
        <v>0</v>
      </c>
      <c r="I91" s="62">
        <f t="shared" si="31"/>
        <v>0</v>
      </c>
      <c r="J91" s="62">
        <f>D91-F91</f>
        <v>0</v>
      </c>
      <c r="K91" s="62">
        <f>E91-F91</f>
        <v>0</v>
      </c>
    </row>
    <row r="92" spans="1:11" s="21" customFormat="1" ht="6" customHeight="1" hidden="1">
      <c r="A92" s="93">
        <v>6</v>
      </c>
      <c r="B92" s="63"/>
      <c r="C92" s="64" t="s">
        <v>94</v>
      </c>
      <c r="D92" s="65">
        <f>D88+D90</f>
        <v>0</v>
      </c>
      <c r="E92" s="65">
        <f aca="true" t="shared" si="35" ref="E92:K92">E88+E90</f>
        <v>0</v>
      </c>
      <c r="F92" s="313">
        <f t="shared" si="35"/>
        <v>0</v>
      </c>
      <c r="G92" s="65">
        <f t="shared" si="35"/>
        <v>0</v>
      </c>
      <c r="H92" s="65">
        <f t="shared" si="35"/>
        <v>0</v>
      </c>
      <c r="I92" s="62">
        <f t="shared" si="31"/>
        <v>0</v>
      </c>
      <c r="J92" s="65">
        <f t="shared" si="35"/>
        <v>0</v>
      </c>
      <c r="K92" s="65">
        <f t="shared" si="35"/>
        <v>0</v>
      </c>
    </row>
    <row r="93" spans="1:11" s="21" customFormat="1" ht="6" customHeight="1" hidden="1">
      <c r="A93" s="60" t="s">
        <v>180</v>
      </c>
      <c r="B93" s="61" t="s">
        <v>50</v>
      </c>
      <c r="C93" s="273" t="s">
        <v>96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1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60" t="s">
        <v>55</v>
      </c>
      <c r="B94" s="61" t="s">
        <v>50</v>
      </c>
      <c r="C94" s="273" t="s">
        <v>59</v>
      </c>
      <c r="D94" s="92"/>
      <c r="E94" s="92">
        <f>D94</f>
        <v>0</v>
      </c>
      <c r="F94" s="314">
        <v>0</v>
      </c>
      <c r="G94" s="62">
        <v>0</v>
      </c>
      <c r="H94" s="62">
        <v>0</v>
      </c>
      <c r="I94" s="62">
        <f t="shared" si="31"/>
        <v>0</v>
      </c>
      <c r="J94" s="62">
        <f>D94-F94</f>
        <v>0</v>
      </c>
      <c r="K94" s="62">
        <f>E94-F94</f>
        <v>0</v>
      </c>
    </row>
    <row r="95" spans="1:11" s="21" customFormat="1" ht="6" customHeight="1" hidden="1">
      <c r="A95" s="95" t="s">
        <v>149</v>
      </c>
      <c r="B95" s="70"/>
      <c r="C95" s="80" t="s">
        <v>141</v>
      </c>
      <c r="D95" s="79">
        <f aca="true" t="shared" si="36" ref="D95:K95">SUM(D96:D97)</f>
        <v>0</v>
      </c>
      <c r="E95" s="79">
        <f t="shared" si="36"/>
        <v>0</v>
      </c>
      <c r="F95" s="316">
        <f t="shared" si="36"/>
        <v>0</v>
      </c>
      <c r="G95" s="79">
        <f t="shared" si="36"/>
        <v>0</v>
      </c>
      <c r="H95" s="79">
        <f t="shared" si="36"/>
        <v>0</v>
      </c>
      <c r="I95" s="62">
        <f t="shared" si="31"/>
        <v>0</v>
      </c>
      <c r="J95" s="79">
        <f t="shared" si="36"/>
        <v>0</v>
      </c>
      <c r="K95" s="79">
        <f t="shared" si="36"/>
        <v>0</v>
      </c>
    </row>
    <row r="96" spans="1:11" s="21" customFormat="1" ht="6" customHeight="1" hidden="1">
      <c r="A96" s="82" t="s">
        <v>144</v>
      </c>
      <c r="B96" s="61" t="s">
        <v>50</v>
      </c>
      <c r="C96" s="273" t="s">
        <v>142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1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82" t="s">
        <v>52</v>
      </c>
      <c r="B97" s="61" t="s">
        <v>50</v>
      </c>
      <c r="C97" s="273" t="s">
        <v>143</v>
      </c>
      <c r="D97" s="92"/>
      <c r="E97" s="92">
        <f>D97</f>
        <v>0</v>
      </c>
      <c r="F97" s="314"/>
      <c r="G97" s="62">
        <v>0</v>
      </c>
      <c r="H97" s="62">
        <v>0</v>
      </c>
      <c r="I97" s="62">
        <f t="shared" si="31"/>
        <v>0</v>
      </c>
      <c r="J97" s="62">
        <f>D97-F97</f>
        <v>0</v>
      </c>
      <c r="K97" s="62">
        <f>E97-F97</f>
        <v>0</v>
      </c>
    </row>
    <row r="98" spans="1:11" s="21" customFormat="1" ht="6" customHeight="1" hidden="1">
      <c r="A98" s="93" t="s">
        <v>145</v>
      </c>
      <c r="B98" s="61"/>
      <c r="C98" s="64" t="s">
        <v>146</v>
      </c>
      <c r="D98" s="65">
        <f aca="true" t="shared" si="37" ref="D98:K98">D96+D97</f>
        <v>0</v>
      </c>
      <c r="E98" s="65">
        <f t="shared" si="37"/>
        <v>0</v>
      </c>
      <c r="F98" s="313">
        <f t="shared" si="37"/>
        <v>0</v>
      </c>
      <c r="G98" s="65">
        <f t="shared" si="37"/>
        <v>0</v>
      </c>
      <c r="H98" s="65">
        <f t="shared" si="37"/>
        <v>0</v>
      </c>
      <c r="I98" s="62">
        <f t="shared" si="31"/>
        <v>0</v>
      </c>
      <c r="J98" s="65">
        <f t="shared" si="37"/>
        <v>0</v>
      </c>
      <c r="K98" s="65">
        <f t="shared" si="37"/>
        <v>0</v>
      </c>
    </row>
    <row r="99" spans="1:11" s="21" customFormat="1" ht="0.75" customHeight="1" hidden="1">
      <c r="A99" s="93" t="s">
        <v>154</v>
      </c>
      <c r="B99" s="61"/>
      <c r="C99" s="64" t="s">
        <v>152</v>
      </c>
      <c r="D99" s="79">
        <f aca="true" t="shared" si="38" ref="D99:K99">SUM(D100:D114)</f>
        <v>2353691.58</v>
      </c>
      <c r="E99" s="79">
        <f t="shared" si="38"/>
        <v>2353691.58</v>
      </c>
      <c r="F99" s="316">
        <f t="shared" si="38"/>
        <v>1065221.5</v>
      </c>
      <c r="G99" s="79">
        <f t="shared" si="38"/>
        <v>0</v>
      </c>
      <c r="H99" s="79">
        <f t="shared" si="38"/>
        <v>0</v>
      </c>
      <c r="I99" s="62">
        <f t="shared" si="31"/>
        <v>1065221.5</v>
      </c>
      <c r="J99" s="79">
        <f t="shared" si="38"/>
        <v>1288470.08</v>
      </c>
      <c r="K99" s="79">
        <f t="shared" si="38"/>
        <v>1288470.08</v>
      </c>
    </row>
    <row r="100" spans="1:11" s="21" customFormat="1" ht="6" customHeight="1" hidden="1">
      <c r="A100" s="60" t="s">
        <v>56</v>
      </c>
      <c r="B100" s="61" t="s">
        <v>50</v>
      </c>
      <c r="C100" s="273" t="s">
        <v>155</v>
      </c>
      <c r="D100" s="92">
        <v>0</v>
      </c>
      <c r="E100" s="92">
        <f aca="true" t="shared" si="39" ref="E100:E110">D100</f>
        <v>0</v>
      </c>
      <c r="F100" s="314">
        <v>0</v>
      </c>
      <c r="G100" s="62">
        <v>0</v>
      </c>
      <c r="H100" s="62">
        <v>0</v>
      </c>
      <c r="I100" s="62">
        <f t="shared" si="31"/>
        <v>0</v>
      </c>
      <c r="J100" s="62">
        <f>D100-F100</f>
        <v>0</v>
      </c>
      <c r="K100" s="62">
        <f>E100-F100</f>
        <v>0</v>
      </c>
    </row>
    <row r="101" spans="1:11" s="21" customFormat="1" ht="50.25" customHeight="1" hidden="1">
      <c r="A101" s="98" t="s">
        <v>260</v>
      </c>
      <c r="B101" s="61"/>
      <c r="C101" s="78" t="s">
        <v>259</v>
      </c>
      <c r="D101" s="65">
        <f>D87</f>
        <v>20000</v>
      </c>
      <c r="E101" s="65">
        <f>E82</f>
        <v>20000</v>
      </c>
      <c r="F101" s="318">
        <f>F87</f>
        <v>5994.34</v>
      </c>
      <c r="G101" s="87">
        <f>G87</f>
        <v>0</v>
      </c>
      <c r="H101" s="87">
        <f>H87</f>
        <v>0</v>
      </c>
      <c r="I101" s="62">
        <f t="shared" si="31"/>
        <v>5994.34</v>
      </c>
      <c r="J101" s="87">
        <f>D101-F101</f>
        <v>14005.66</v>
      </c>
      <c r="K101" s="87">
        <f>E101-F101</f>
        <v>14005.66</v>
      </c>
    </row>
    <row r="102" spans="1:11" s="21" customFormat="1" ht="58.5" customHeight="1" hidden="1">
      <c r="A102" s="101" t="s">
        <v>245</v>
      </c>
      <c r="B102" s="61"/>
      <c r="C102" s="86" t="s">
        <v>244</v>
      </c>
      <c r="D102" s="79">
        <f>D103</f>
        <v>0</v>
      </c>
      <c r="E102" s="79">
        <f t="shared" si="39"/>
        <v>0</v>
      </c>
      <c r="F102" s="318">
        <f aca="true" t="shared" si="40" ref="F102:K102">F103</f>
        <v>0</v>
      </c>
      <c r="G102" s="87">
        <f t="shared" si="40"/>
        <v>0</v>
      </c>
      <c r="H102" s="87">
        <f t="shared" si="40"/>
        <v>0</v>
      </c>
      <c r="I102" s="62">
        <f t="shared" si="31"/>
        <v>0</v>
      </c>
      <c r="J102" s="87">
        <f t="shared" si="40"/>
        <v>0</v>
      </c>
      <c r="K102" s="87">
        <f t="shared" si="40"/>
        <v>0</v>
      </c>
    </row>
    <row r="103" spans="1:11" s="21" customFormat="1" ht="21" customHeight="1" hidden="1">
      <c r="A103" s="82" t="s">
        <v>182</v>
      </c>
      <c r="B103" s="61" t="s">
        <v>50</v>
      </c>
      <c r="C103" s="273" t="s">
        <v>246</v>
      </c>
      <c r="D103" s="92">
        <v>0</v>
      </c>
      <c r="E103" s="92">
        <f t="shared" si="39"/>
        <v>0</v>
      </c>
      <c r="F103" s="314">
        <v>0</v>
      </c>
      <c r="G103" s="62">
        <v>0</v>
      </c>
      <c r="H103" s="62">
        <v>0</v>
      </c>
      <c r="I103" s="62">
        <f t="shared" si="31"/>
        <v>0</v>
      </c>
      <c r="J103" s="62">
        <f>D103-F103</f>
        <v>0</v>
      </c>
      <c r="K103" s="62">
        <f>E103-F103</f>
        <v>0</v>
      </c>
    </row>
    <row r="104" spans="1:11" s="21" customFormat="1" ht="88.5" customHeight="1" hidden="1">
      <c r="A104" s="101" t="s">
        <v>247</v>
      </c>
      <c r="B104" s="61"/>
      <c r="C104" s="86" t="s">
        <v>248</v>
      </c>
      <c r="D104" s="79">
        <f>D105</f>
        <v>0</v>
      </c>
      <c r="E104" s="79">
        <f t="shared" si="39"/>
        <v>0</v>
      </c>
      <c r="F104" s="318">
        <f aca="true" t="shared" si="41" ref="F104:K104">F105</f>
        <v>0</v>
      </c>
      <c r="G104" s="87">
        <f t="shared" si="41"/>
        <v>0</v>
      </c>
      <c r="H104" s="87">
        <f t="shared" si="41"/>
        <v>0</v>
      </c>
      <c r="I104" s="62">
        <f t="shared" si="31"/>
        <v>0</v>
      </c>
      <c r="J104" s="87">
        <f t="shared" si="41"/>
        <v>0</v>
      </c>
      <c r="K104" s="87">
        <f t="shared" si="41"/>
        <v>0</v>
      </c>
    </row>
    <row r="105" spans="1:11" s="21" customFormat="1" ht="26.25" customHeight="1" hidden="1">
      <c r="A105" s="82" t="s">
        <v>182</v>
      </c>
      <c r="B105" s="61" t="s">
        <v>50</v>
      </c>
      <c r="C105" s="273" t="s">
        <v>249</v>
      </c>
      <c r="D105" s="92">
        <v>0</v>
      </c>
      <c r="E105" s="92">
        <f t="shared" si="39"/>
        <v>0</v>
      </c>
      <c r="F105" s="314">
        <v>0</v>
      </c>
      <c r="G105" s="62">
        <v>0</v>
      </c>
      <c r="H105" s="62">
        <v>0</v>
      </c>
      <c r="I105" s="62">
        <f t="shared" si="31"/>
        <v>0</v>
      </c>
      <c r="J105" s="62">
        <f>D105-F105</f>
        <v>0</v>
      </c>
      <c r="K105" s="62">
        <f>E105-F105</f>
        <v>0</v>
      </c>
    </row>
    <row r="106" spans="1:11" s="21" customFormat="1" ht="35.25" customHeight="1" hidden="1">
      <c r="A106" s="101" t="s">
        <v>253</v>
      </c>
      <c r="B106" s="61"/>
      <c r="C106" s="86" t="s">
        <v>252</v>
      </c>
      <c r="D106" s="65">
        <f>D108+D107</f>
        <v>0</v>
      </c>
      <c r="E106" s="65">
        <f>E108+E107</f>
        <v>0</v>
      </c>
      <c r="F106" s="318">
        <f>F108+F107</f>
        <v>0</v>
      </c>
      <c r="G106" s="87">
        <f>G108+G107</f>
        <v>0</v>
      </c>
      <c r="H106" s="87">
        <f>H108+H107</f>
        <v>0</v>
      </c>
      <c r="I106" s="62">
        <f t="shared" si="31"/>
        <v>0</v>
      </c>
      <c r="J106" s="87">
        <f>J108</f>
        <v>0</v>
      </c>
      <c r="K106" s="87">
        <f>K108</f>
        <v>0</v>
      </c>
    </row>
    <row r="107" spans="1:11" s="21" customFormat="1" ht="35.25" customHeight="1" hidden="1">
      <c r="A107" s="60" t="s">
        <v>56</v>
      </c>
      <c r="B107" s="61"/>
      <c r="C107" s="273" t="s">
        <v>254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1"/>
        <v>0</v>
      </c>
      <c r="J107" s="62">
        <f>D107-F107</f>
        <v>0</v>
      </c>
      <c r="K107" s="62">
        <f>E107-F107</f>
        <v>0</v>
      </c>
    </row>
    <row r="108" spans="1:11" s="21" customFormat="1" ht="18" customHeight="1" hidden="1">
      <c r="A108" s="60" t="s">
        <v>182</v>
      </c>
      <c r="B108" s="61"/>
      <c r="C108" s="273" t="s">
        <v>255</v>
      </c>
      <c r="D108" s="92">
        <v>0</v>
      </c>
      <c r="E108" s="92">
        <f>D108</f>
        <v>0</v>
      </c>
      <c r="F108" s="314">
        <v>0</v>
      </c>
      <c r="G108" s="62">
        <v>0</v>
      </c>
      <c r="H108" s="62">
        <v>0</v>
      </c>
      <c r="I108" s="62">
        <f t="shared" si="31"/>
        <v>0</v>
      </c>
      <c r="J108" s="62">
        <f>D108-F108</f>
        <v>0</v>
      </c>
      <c r="K108" s="62">
        <f>E108-F108</f>
        <v>0</v>
      </c>
    </row>
    <row r="109" spans="1:11" s="21" customFormat="1" ht="33" customHeight="1" hidden="1">
      <c r="A109" s="82"/>
      <c r="B109" s="61"/>
      <c r="C109" s="273"/>
      <c r="D109" s="92"/>
      <c r="E109" s="92"/>
      <c r="F109" s="314"/>
      <c r="G109" s="62"/>
      <c r="H109" s="62"/>
      <c r="I109" s="62">
        <f t="shared" si="31"/>
        <v>0</v>
      </c>
      <c r="J109" s="62"/>
      <c r="K109" s="62"/>
    </row>
    <row r="110" spans="1:11" s="21" customFormat="1" ht="20.25" customHeight="1" hidden="1">
      <c r="A110" s="93" t="s">
        <v>250</v>
      </c>
      <c r="B110" s="61"/>
      <c r="C110" s="64" t="s">
        <v>251</v>
      </c>
      <c r="D110" s="65">
        <f>D103+D105+D106</f>
        <v>0</v>
      </c>
      <c r="E110" s="65">
        <f t="shared" si="39"/>
        <v>0</v>
      </c>
      <c r="F110" s="313">
        <f>F102+F104+F106</f>
        <v>0</v>
      </c>
      <c r="G110" s="65">
        <f>G102+G104+G106</f>
        <v>0</v>
      </c>
      <c r="H110" s="65">
        <f>H102+H104+H106</f>
        <v>0</v>
      </c>
      <c r="I110" s="62">
        <f t="shared" si="31"/>
        <v>0</v>
      </c>
      <c r="J110" s="65">
        <f>J102+J104+J106</f>
        <v>0</v>
      </c>
      <c r="K110" s="65">
        <f>J110</f>
        <v>0</v>
      </c>
    </row>
    <row r="111" spans="1:11" s="21" customFormat="1" ht="27" customHeight="1">
      <c r="A111" s="219" t="s">
        <v>366</v>
      </c>
      <c r="B111" s="220"/>
      <c r="C111" s="213" t="s">
        <v>360</v>
      </c>
      <c r="D111" s="214">
        <f>D112</f>
        <v>55680</v>
      </c>
      <c r="E111" s="214">
        <f>E112</f>
        <v>55680</v>
      </c>
      <c r="F111" s="313">
        <f aca="true" t="shared" si="42" ref="F111:K111">F112</f>
        <v>27840</v>
      </c>
      <c r="G111" s="214">
        <f t="shared" si="42"/>
        <v>0</v>
      </c>
      <c r="H111" s="214">
        <f t="shared" si="42"/>
        <v>0</v>
      </c>
      <c r="I111" s="214">
        <f t="shared" si="42"/>
        <v>27840</v>
      </c>
      <c r="J111" s="214">
        <f t="shared" si="42"/>
        <v>27840</v>
      </c>
      <c r="K111" s="214">
        <f t="shared" si="42"/>
        <v>27840</v>
      </c>
    </row>
    <row r="112" spans="1:11" s="21" customFormat="1" ht="15.75" customHeight="1">
      <c r="A112" s="183" t="s">
        <v>374</v>
      </c>
      <c r="B112" s="61"/>
      <c r="C112" s="80" t="s">
        <v>523</v>
      </c>
      <c r="D112" s="65">
        <f>D113</f>
        <v>55680</v>
      </c>
      <c r="E112" s="65">
        <f aca="true" t="shared" si="43" ref="E112:K113">E113</f>
        <v>55680</v>
      </c>
      <c r="F112" s="313">
        <f t="shared" si="43"/>
        <v>27840</v>
      </c>
      <c r="G112" s="65">
        <f t="shared" si="43"/>
        <v>0</v>
      </c>
      <c r="H112" s="65">
        <f t="shared" si="43"/>
        <v>0</v>
      </c>
      <c r="I112" s="65">
        <f t="shared" si="43"/>
        <v>27840</v>
      </c>
      <c r="J112" s="65">
        <f t="shared" si="43"/>
        <v>27840</v>
      </c>
      <c r="K112" s="65">
        <f t="shared" si="43"/>
        <v>27840</v>
      </c>
    </row>
    <row r="113" spans="1:11" s="21" customFormat="1" ht="16.5" customHeight="1">
      <c r="A113" s="82" t="s">
        <v>443</v>
      </c>
      <c r="B113" s="61" t="s">
        <v>50</v>
      </c>
      <c r="C113" s="273" t="s">
        <v>524</v>
      </c>
      <c r="D113" s="92">
        <f>30000+25680</f>
        <v>55680</v>
      </c>
      <c r="E113" s="92">
        <f>D113</f>
        <v>55680</v>
      </c>
      <c r="F113" s="315">
        <f>27840</f>
        <v>27840</v>
      </c>
      <c r="G113" s="92">
        <f t="shared" si="43"/>
        <v>0</v>
      </c>
      <c r="H113" s="92">
        <f t="shared" si="43"/>
        <v>0</v>
      </c>
      <c r="I113" s="62">
        <f t="shared" si="31"/>
        <v>27840</v>
      </c>
      <c r="J113" s="92">
        <f>D113-F113</f>
        <v>27840</v>
      </c>
      <c r="K113" s="92">
        <f>E113-F113</f>
        <v>27840</v>
      </c>
    </row>
    <row r="114" spans="1:11" s="21" customFormat="1" ht="147.75" customHeight="1">
      <c r="A114" s="95" t="s">
        <v>236</v>
      </c>
      <c r="B114" s="61"/>
      <c r="C114" s="80" t="s">
        <v>525</v>
      </c>
      <c r="D114" s="65">
        <f>SUM(D115:D117)</f>
        <v>2166651.58</v>
      </c>
      <c r="E114" s="208">
        <f aca="true" t="shared" si="44" ref="E114:K114">SUM(E115:E117)</f>
        <v>2166651.58</v>
      </c>
      <c r="F114" s="313">
        <f>F115</f>
        <v>975707.1599999999</v>
      </c>
      <c r="G114" s="65">
        <f t="shared" si="44"/>
        <v>0</v>
      </c>
      <c r="H114" s="65">
        <f t="shared" si="44"/>
        <v>0</v>
      </c>
      <c r="I114" s="65">
        <f t="shared" si="44"/>
        <v>975707.1599999999</v>
      </c>
      <c r="J114" s="65">
        <f t="shared" si="44"/>
        <v>1190944.4200000002</v>
      </c>
      <c r="K114" s="65">
        <f t="shared" si="44"/>
        <v>1190944.4200000002</v>
      </c>
    </row>
    <row r="115" spans="1:11" s="21" customFormat="1" ht="15" customHeight="1">
      <c r="A115" s="82" t="s">
        <v>55</v>
      </c>
      <c r="B115" s="61" t="s">
        <v>50</v>
      </c>
      <c r="C115" s="273" t="s">
        <v>526</v>
      </c>
      <c r="D115" s="92">
        <f>1891600+255051.58+20000</f>
        <v>2166651.58</v>
      </c>
      <c r="E115" s="92">
        <f>D115</f>
        <v>2166651.58</v>
      </c>
      <c r="F115" s="314">
        <f>104000+64000+16000+16000+36000+61331+14575+157444+54452.08+178195.2+14540.64+14829.44+21200+136739.8+86400</f>
        <v>975707.1599999999</v>
      </c>
      <c r="G115" s="62">
        <v>0</v>
      </c>
      <c r="H115" s="62">
        <v>0</v>
      </c>
      <c r="I115" s="62">
        <f>SUM(F115:H115)</f>
        <v>975707.1599999999</v>
      </c>
      <c r="J115" s="62">
        <f>D115-F115</f>
        <v>1190944.4200000002</v>
      </c>
      <c r="K115" s="62">
        <f>E115-F115</f>
        <v>1190944.4200000002</v>
      </c>
    </row>
    <row r="116" spans="1:11" s="21" customFormat="1" ht="18.75" customHeight="1" hidden="1">
      <c r="A116" s="60" t="s">
        <v>56</v>
      </c>
      <c r="B116" s="61" t="s">
        <v>50</v>
      </c>
      <c r="C116" s="273" t="s">
        <v>379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30.75" customHeight="1" hidden="1">
      <c r="A117" s="60" t="s">
        <v>58</v>
      </c>
      <c r="B117" s="61" t="s">
        <v>50</v>
      </c>
      <c r="C117" s="273" t="s">
        <v>389</v>
      </c>
      <c r="D117" s="92">
        <v>0</v>
      </c>
      <c r="E117" s="92">
        <f>D117</f>
        <v>0</v>
      </c>
      <c r="F117" s="314">
        <v>0</v>
      </c>
      <c r="G117" s="62">
        <v>0</v>
      </c>
      <c r="H117" s="62">
        <v>0</v>
      </c>
      <c r="I117" s="62">
        <f>SUM(F117:H117)</f>
        <v>0</v>
      </c>
      <c r="J117" s="62">
        <f>D117-F117</f>
        <v>0</v>
      </c>
      <c r="K117" s="62">
        <f>E117-F117</f>
        <v>0</v>
      </c>
    </row>
    <row r="118" spans="1:11" s="21" customFormat="1" ht="27.75" customHeight="1">
      <c r="A118" s="221" t="s">
        <v>237</v>
      </c>
      <c r="B118" s="220"/>
      <c r="C118" s="216" t="s">
        <v>238</v>
      </c>
      <c r="D118" s="214">
        <f>D115+D116+D117</f>
        <v>2166651.58</v>
      </c>
      <c r="E118" s="214">
        <f>E115+E116+E117</f>
        <v>2166651.58</v>
      </c>
      <c r="F118" s="313">
        <f>F114</f>
        <v>975707.1599999999</v>
      </c>
      <c r="G118" s="214">
        <f>G115+G116</f>
        <v>0</v>
      </c>
      <c r="H118" s="214">
        <f>H115+H116</f>
        <v>0</v>
      </c>
      <c r="I118" s="214">
        <f>I115+I116</f>
        <v>975707.1599999999</v>
      </c>
      <c r="J118" s="214">
        <f>J114</f>
        <v>1190944.4200000002</v>
      </c>
      <c r="K118" s="214">
        <f>K114</f>
        <v>1190944.4200000002</v>
      </c>
    </row>
    <row r="119" spans="1:11" s="21" customFormat="1" ht="27.75" customHeight="1" hidden="1">
      <c r="A119" s="97" t="s">
        <v>449</v>
      </c>
      <c r="B119" s="61"/>
      <c r="C119" s="80" t="s">
        <v>527</v>
      </c>
      <c r="D119" s="65">
        <f>D120</f>
        <v>0</v>
      </c>
      <c r="E119" s="65">
        <f aca="true" t="shared" si="45" ref="E119:K119">E120</f>
        <v>0</v>
      </c>
      <c r="F119" s="313">
        <f t="shared" si="45"/>
        <v>0</v>
      </c>
      <c r="G119" s="65">
        <f t="shared" si="45"/>
        <v>0</v>
      </c>
      <c r="H119" s="65">
        <f t="shared" si="45"/>
        <v>0</v>
      </c>
      <c r="I119" s="65">
        <f t="shared" si="45"/>
        <v>0</v>
      </c>
      <c r="J119" s="65">
        <f t="shared" si="45"/>
        <v>0</v>
      </c>
      <c r="K119" s="65">
        <f t="shared" si="45"/>
        <v>0</v>
      </c>
    </row>
    <row r="120" spans="1:11" s="21" customFormat="1" ht="17.25" customHeight="1" hidden="1">
      <c r="A120" s="60" t="s">
        <v>56</v>
      </c>
      <c r="B120" s="61"/>
      <c r="C120" s="273" t="s">
        <v>528</v>
      </c>
      <c r="D120" s="92">
        <f>50000-50000</f>
        <v>0</v>
      </c>
      <c r="E120" s="92">
        <f>D120</f>
        <v>0</v>
      </c>
      <c r="F120" s="315">
        <v>0</v>
      </c>
      <c r="G120" s="92"/>
      <c r="H120" s="92"/>
      <c r="I120" s="92"/>
      <c r="J120" s="92"/>
      <c r="K120" s="92">
        <f>E120-F120</f>
        <v>0</v>
      </c>
    </row>
    <row r="121" spans="1:11" s="21" customFormat="1" ht="27.75" customHeight="1" hidden="1">
      <c r="A121" s="221" t="s">
        <v>448</v>
      </c>
      <c r="B121" s="220"/>
      <c r="C121" s="216" t="s">
        <v>447</v>
      </c>
      <c r="D121" s="214">
        <f>D120</f>
        <v>0</v>
      </c>
      <c r="E121" s="214">
        <f aca="true" t="shared" si="46" ref="E121:K121">E120</f>
        <v>0</v>
      </c>
      <c r="F121" s="313">
        <f t="shared" si="46"/>
        <v>0</v>
      </c>
      <c r="G121" s="214">
        <f t="shared" si="46"/>
        <v>0</v>
      </c>
      <c r="H121" s="214">
        <f t="shared" si="46"/>
        <v>0</v>
      </c>
      <c r="I121" s="214">
        <f t="shared" si="46"/>
        <v>0</v>
      </c>
      <c r="J121" s="214">
        <f t="shared" si="46"/>
        <v>0</v>
      </c>
      <c r="K121" s="214">
        <f t="shared" si="46"/>
        <v>0</v>
      </c>
    </row>
    <row r="122" spans="1:11" s="21" customFormat="1" ht="22.5" customHeight="1">
      <c r="A122" s="230" t="s">
        <v>270</v>
      </c>
      <c r="B122" s="231"/>
      <c r="C122" s="210" t="s">
        <v>153</v>
      </c>
      <c r="D122" s="211">
        <f>D111+D118+D121</f>
        <v>2222331.58</v>
      </c>
      <c r="E122" s="211">
        <f aca="true" t="shared" si="47" ref="E122:K122">E111+E118+E121</f>
        <v>2222331.58</v>
      </c>
      <c r="F122" s="313">
        <f>F111+F118+F121</f>
        <v>1003547.1599999999</v>
      </c>
      <c r="G122" s="211">
        <f t="shared" si="47"/>
        <v>0</v>
      </c>
      <c r="H122" s="211">
        <f t="shared" si="47"/>
        <v>0</v>
      </c>
      <c r="I122" s="211">
        <f t="shared" si="47"/>
        <v>1003547.1599999999</v>
      </c>
      <c r="J122" s="211">
        <f t="shared" si="47"/>
        <v>1218784.4200000002</v>
      </c>
      <c r="K122" s="211">
        <f t="shared" si="47"/>
        <v>1218784.4200000002</v>
      </c>
    </row>
    <row r="123" spans="1:11" s="59" customFormat="1" ht="0.75" customHeight="1">
      <c r="A123" s="95" t="s">
        <v>170</v>
      </c>
      <c r="B123" s="70"/>
      <c r="C123" s="80" t="s">
        <v>171</v>
      </c>
      <c r="D123" s="79" t="e">
        <f>SUM(#REF!)</f>
        <v>#REF!</v>
      </c>
      <c r="E123" s="79" t="e">
        <f>SUM(#REF!)</f>
        <v>#REF!</v>
      </c>
      <c r="F123" s="316" t="e">
        <f>SUM(#REF!)</f>
        <v>#REF!</v>
      </c>
      <c r="G123" s="79" t="e">
        <f>SUM(#REF!)</f>
        <v>#REF!</v>
      </c>
      <c r="H123" s="79" t="e">
        <f>SUM(#REF!)</f>
        <v>#REF!</v>
      </c>
      <c r="I123" s="79" t="e">
        <f>SUM(#REF!)</f>
        <v>#REF!</v>
      </c>
      <c r="J123" s="79" t="e">
        <f>SUM(#REF!)</f>
        <v>#REF!</v>
      </c>
      <c r="K123" s="79" t="e">
        <f>SUM(#REF!)</f>
        <v>#REF!</v>
      </c>
    </row>
    <row r="124" spans="1:11" s="21" customFormat="1" ht="144" customHeight="1" hidden="1">
      <c r="A124" s="101" t="s">
        <v>232</v>
      </c>
      <c r="B124" s="61"/>
      <c r="C124" s="80" t="s">
        <v>529</v>
      </c>
      <c r="D124" s="65">
        <f aca="true" t="shared" si="48" ref="D124:K124">D125</f>
        <v>0</v>
      </c>
      <c r="E124" s="65">
        <f t="shared" si="48"/>
        <v>0</v>
      </c>
      <c r="F124" s="318">
        <f t="shared" si="48"/>
        <v>0</v>
      </c>
      <c r="G124" s="87">
        <f t="shared" si="48"/>
        <v>0</v>
      </c>
      <c r="H124" s="87">
        <f t="shared" si="48"/>
        <v>0</v>
      </c>
      <c r="I124" s="87">
        <f t="shared" si="48"/>
        <v>0</v>
      </c>
      <c r="J124" s="87">
        <f t="shared" si="48"/>
        <v>0</v>
      </c>
      <c r="K124" s="87">
        <f t="shared" si="48"/>
        <v>0</v>
      </c>
    </row>
    <row r="125" spans="1:11" s="21" customFormat="1" ht="18.75" customHeight="1" hidden="1">
      <c r="A125" s="82" t="s">
        <v>58</v>
      </c>
      <c r="B125" s="61" t="s">
        <v>50</v>
      </c>
      <c r="C125" s="273" t="s">
        <v>530</v>
      </c>
      <c r="D125" s="92"/>
      <c r="E125" s="92">
        <f>D125</f>
        <v>0</v>
      </c>
      <c r="F125" s="314"/>
      <c r="G125" s="62">
        <v>0</v>
      </c>
      <c r="H125" s="62">
        <v>0</v>
      </c>
      <c r="I125" s="62">
        <f>F125+G125+H125</f>
        <v>0</v>
      </c>
      <c r="J125" s="62">
        <f>D125-F125</f>
        <v>0</v>
      </c>
      <c r="K125" s="62">
        <f>E125-F125</f>
        <v>0</v>
      </c>
    </row>
    <row r="126" spans="1:11" s="21" customFormat="1" ht="15" customHeight="1" hidden="1">
      <c r="A126" s="227" t="s">
        <v>233</v>
      </c>
      <c r="B126" s="218"/>
      <c r="C126" s="228" t="s">
        <v>94</v>
      </c>
      <c r="D126" s="211">
        <f>D124</f>
        <v>0</v>
      </c>
      <c r="E126" s="211">
        <f>D126</f>
        <v>0</v>
      </c>
      <c r="F126" s="313">
        <f>F124</f>
        <v>0</v>
      </c>
      <c r="G126" s="211">
        <f>SUM(G124:G125)</f>
        <v>0</v>
      </c>
      <c r="H126" s="211">
        <f>SUM(H124:H125)</f>
        <v>0</v>
      </c>
      <c r="I126" s="211">
        <f>I124</f>
        <v>0</v>
      </c>
      <c r="J126" s="211">
        <f>J124</f>
        <v>0</v>
      </c>
      <c r="K126" s="211">
        <f>K124</f>
        <v>0</v>
      </c>
    </row>
    <row r="127" spans="1:11" s="59" customFormat="1" ht="33.75" customHeight="1">
      <c r="A127" s="278" t="s">
        <v>117</v>
      </c>
      <c r="B127" s="260"/>
      <c r="C127" s="261" t="s">
        <v>531</v>
      </c>
      <c r="D127" s="262">
        <f>D128+D130+D131+D132+D129+D133</f>
        <v>86404</v>
      </c>
      <c r="E127" s="262">
        <f>E128+E130+E131+E132+E129+E133</f>
        <v>86404</v>
      </c>
      <c r="F127" s="319">
        <f>F128+F130+F131+F132+F129+F133</f>
        <v>49016.53</v>
      </c>
      <c r="G127" s="262">
        <f>G128+G130+G131+G132+G129</f>
        <v>0</v>
      </c>
      <c r="H127" s="262">
        <f>H128+H130+H131+H132+H129</f>
        <v>0</v>
      </c>
      <c r="I127" s="262">
        <f>I128+I130+I131+I132+I129</f>
        <v>18375</v>
      </c>
      <c r="J127" s="262">
        <f>J128+J130+J131+J132+J129</f>
        <v>5321.43</v>
      </c>
      <c r="K127" s="262">
        <f>D127-F127</f>
        <v>37387.47</v>
      </c>
    </row>
    <row r="128" spans="1:11" s="21" customFormat="1" ht="21" customHeight="1" hidden="1">
      <c r="A128" s="82" t="s">
        <v>54</v>
      </c>
      <c r="B128" s="61" t="s">
        <v>50</v>
      </c>
      <c r="C128" s="273" t="s">
        <v>380</v>
      </c>
      <c r="D128" s="92">
        <v>0</v>
      </c>
      <c r="E128" s="92">
        <f aca="true" t="shared" si="49" ref="E128:E133">D128</f>
        <v>0</v>
      </c>
      <c r="F128" s="314">
        <v>0</v>
      </c>
      <c r="G128" s="62">
        <v>0</v>
      </c>
      <c r="H128" s="62">
        <v>0</v>
      </c>
      <c r="I128" s="62">
        <f>SUM(F128:H128)</f>
        <v>0</v>
      </c>
      <c r="J128" s="62">
        <f aca="true" t="shared" si="50" ref="J128:J135">D128-F128</f>
        <v>0</v>
      </c>
      <c r="K128" s="62">
        <f aca="true" t="shared" si="51" ref="K128:K135">E128-F128</f>
        <v>0</v>
      </c>
    </row>
    <row r="129" spans="1:11" s="21" customFormat="1" ht="21" customHeight="1">
      <c r="A129" s="269" t="s">
        <v>54</v>
      </c>
      <c r="B129" s="242" t="s">
        <v>50</v>
      </c>
      <c r="C129" s="274" t="s">
        <v>532</v>
      </c>
      <c r="D129" s="279">
        <v>62707.57</v>
      </c>
      <c r="E129" s="279">
        <f t="shared" si="49"/>
        <v>62707.57</v>
      </c>
      <c r="F129" s="243">
        <f>2707.57+2704.47+2670.27+2004.19+2192.05+3029.16+2323.29+2300.53+405.26+1200.24+1200+892.54+1577.08+887.24+908.98+1212.89+745.53+1680.24</f>
        <v>30641.530000000002</v>
      </c>
      <c r="G129" s="243"/>
      <c r="H129" s="243"/>
      <c r="I129" s="243"/>
      <c r="J129" s="243"/>
      <c r="K129" s="243">
        <f t="shared" si="51"/>
        <v>32066.039999999997</v>
      </c>
    </row>
    <row r="130" spans="1:11" s="21" customFormat="1" ht="18" customHeight="1">
      <c r="A130" s="82" t="s">
        <v>55</v>
      </c>
      <c r="B130" s="61" t="s">
        <v>50</v>
      </c>
      <c r="C130" s="273" t="s">
        <v>533</v>
      </c>
      <c r="D130" s="92">
        <f>23696.43-5000-7000</f>
        <v>11696.43</v>
      </c>
      <c r="E130" s="92">
        <f t="shared" si="49"/>
        <v>11696.43</v>
      </c>
      <c r="F130" s="314">
        <v>8000</v>
      </c>
      <c r="G130" s="62">
        <v>0</v>
      </c>
      <c r="H130" s="62">
        <v>0</v>
      </c>
      <c r="I130" s="62">
        <f>SUM(F130:H130)</f>
        <v>8000</v>
      </c>
      <c r="J130" s="62">
        <f t="shared" si="50"/>
        <v>3696.4300000000003</v>
      </c>
      <c r="K130" s="62">
        <f t="shared" si="51"/>
        <v>3696.4300000000003</v>
      </c>
    </row>
    <row r="131" spans="1:14" s="21" customFormat="1" ht="18.75" customHeight="1">
      <c r="A131" s="82" t="s">
        <v>56</v>
      </c>
      <c r="B131" s="61" t="s">
        <v>50</v>
      </c>
      <c r="C131" s="273" t="s">
        <v>534</v>
      </c>
      <c r="D131" s="92"/>
      <c r="E131" s="92">
        <f t="shared" si="49"/>
        <v>0</v>
      </c>
      <c r="F131" s="314"/>
      <c r="G131" s="62">
        <v>0</v>
      </c>
      <c r="H131" s="62">
        <v>0</v>
      </c>
      <c r="I131" s="62">
        <f>SUM(F131:H131)</f>
        <v>0</v>
      </c>
      <c r="J131" s="62">
        <f t="shared" si="50"/>
        <v>0</v>
      </c>
      <c r="K131" s="62">
        <f t="shared" si="51"/>
        <v>0</v>
      </c>
      <c r="N131" s="247"/>
    </row>
    <row r="132" spans="1:11" s="21" customFormat="1" ht="19.5" customHeight="1">
      <c r="A132" s="82" t="s">
        <v>58</v>
      </c>
      <c r="B132" s="61" t="s">
        <v>50</v>
      </c>
      <c r="C132" s="273" t="s">
        <v>535</v>
      </c>
      <c r="D132" s="92">
        <f>5000+7000</f>
        <v>12000</v>
      </c>
      <c r="E132" s="92">
        <f t="shared" si="49"/>
        <v>12000</v>
      </c>
      <c r="F132" s="314">
        <f>4202+6173</f>
        <v>10375</v>
      </c>
      <c r="G132" s="62">
        <v>0</v>
      </c>
      <c r="H132" s="62">
        <v>0</v>
      </c>
      <c r="I132" s="62">
        <f>SUM(F132:H132)</f>
        <v>10375</v>
      </c>
      <c r="J132" s="62">
        <f t="shared" si="50"/>
        <v>1625</v>
      </c>
      <c r="K132" s="62">
        <f t="shared" si="51"/>
        <v>1625</v>
      </c>
    </row>
    <row r="133" spans="1:11" s="21" customFormat="1" ht="18" customHeight="1">
      <c r="A133" s="60"/>
      <c r="B133" s="61" t="s">
        <v>50</v>
      </c>
      <c r="C133" s="273" t="s">
        <v>536</v>
      </c>
      <c r="D133" s="92"/>
      <c r="E133" s="92">
        <f t="shared" si="49"/>
        <v>0</v>
      </c>
      <c r="F133" s="314"/>
      <c r="G133" s="62">
        <v>0</v>
      </c>
      <c r="H133" s="62">
        <v>0</v>
      </c>
      <c r="I133" s="62">
        <f>SUM(F133:H133)</f>
        <v>0</v>
      </c>
      <c r="J133" s="62">
        <f t="shared" si="50"/>
        <v>0</v>
      </c>
      <c r="K133" s="62">
        <f t="shared" si="51"/>
        <v>0</v>
      </c>
    </row>
    <row r="134" spans="1:14" s="21" customFormat="1" ht="27" customHeight="1">
      <c r="A134" s="230" t="s">
        <v>279</v>
      </c>
      <c r="B134" s="231"/>
      <c r="C134" s="257" t="s">
        <v>537</v>
      </c>
      <c r="D134" s="211">
        <f aca="true" t="shared" si="52" ref="D134:I134">D135</f>
        <v>33813</v>
      </c>
      <c r="E134" s="211">
        <f t="shared" si="52"/>
        <v>33813</v>
      </c>
      <c r="F134" s="318">
        <f t="shared" si="52"/>
        <v>9114</v>
      </c>
      <c r="G134" s="259">
        <f t="shared" si="52"/>
        <v>9114</v>
      </c>
      <c r="H134" s="259">
        <f t="shared" si="52"/>
        <v>9114</v>
      </c>
      <c r="I134" s="259">
        <f t="shared" si="52"/>
        <v>9114</v>
      </c>
      <c r="J134" s="259">
        <f t="shared" si="50"/>
        <v>24699</v>
      </c>
      <c r="K134" s="259">
        <f t="shared" si="51"/>
        <v>24699</v>
      </c>
      <c r="N134" s="247"/>
    </row>
    <row r="135" spans="1:14" s="21" customFormat="1" ht="18" customHeight="1">
      <c r="A135" s="82" t="s">
        <v>279</v>
      </c>
      <c r="B135" s="61" t="s">
        <v>50</v>
      </c>
      <c r="C135" s="273" t="s">
        <v>538</v>
      </c>
      <c r="D135" s="92">
        <v>33813</v>
      </c>
      <c r="E135" s="92">
        <f>D135</f>
        <v>33813</v>
      </c>
      <c r="F135" s="314">
        <f>3045+455+770+178.5+101.5+7+3045+455+770+178.5+101.5+7</f>
        <v>9114</v>
      </c>
      <c r="G135" s="62">
        <f>F135</f>
        <v>9114</v>
      </c>
      <c r="H135" s="62">
        <f>G135</f>
        <v>9114</v>
      </c>
      <c r="I135" s="62">
        <f>H135</f>
        <v>9114</v>
      </c>
      <c r="J135" s="62">
        <f t="shared" si="50"/>
        <v>24699</v>
      </c>
      <c r="K135" s="62">
        <f t="shared" si="51"/>
        <v>24699</v>
      </c>
      <c r="N135" s="247"/>
    </row>
    <row r="136" spans="1:11" s="21" customFormat="1" ht="29.25" customHeight="1">
      <c r="A136" s="277" t="s">
        <v>280</v>
      </c>
      <c r="B136" s="220"/>
      <c r="C136" s="223" t="s">
        <v>539</v>
      </c>
      <c r="D136" s="214">
        <f>D137+D138+D139+D140</f>
        <v>82806.62</v>
      </c>
      <c r="E136" s="214">
        <f>E137+E138+E139+E140</f>
        <v>82806.62</v>
      </c>
      <c r="F136" s="318">
        <f aca="true" t="shared" si="53" ref="F136:K136">F137+F138+F139+F140</f>
        <v>22846.9</v>
      </c>
      <c r="G136" s="209">
        <f t="shared" si="53"/>
        <v>0</v>
      </c>
      <c r="H136" s="209">
        <f t="shared" si="53"/>
        <v>0</v>
      </c>
      <c r="I136" s="209">
        <f t="shared" si="53"/>
        <v>22846.9</v>
      </c>
      <c r="J136" s="209">
        <f t="shared" si="53"/>
        <v>59959.719999999994</v>
      </c>
      <c r="K136" s="209">
        <f t="shared" si="53"/>
        <v>59959.719999999994</v>
      </c>
    </row>
    <row r="137" spans="1:11" s="21" customFormat="1" ht="21" customHeight="1" hidden="1">
      <c r="A137" s="82" t="s">
        <v>54</v>
      </c>
      <c r="B137" s="61"/>
      <c r="C137" s="273" t="s">
        <v>540</v>
      </c>
      <c r="D137" s="92">
        <v>0</v>
      </c>
      <c r="E137" s="92">
        <f>D137</f>
        <v>0</v>
      </c>
      <c r="F137" s="314"/>
      <c r="G137" s="62"/>
      <c r="H137" s="62"/>
      <c r="I137" s="62">
        <f>SUM(F137:H137)</f>
        <v>0</v>
      </c>
      <c r="J137" s="62">
        <f>D137-F137</f>
        <v>0</v>
      </c>
      <c r="K137" s="62">
        <f>E137-F137</f>
        <v>0</v>
      </c>
    </row>
    <row r="138" spans="1:11" s="21" customFormat="1" ht="21" customHeight="1">
      <c r="A138" s="82" t="s">
        <v>55</v>
      </c>
      <c r="B138" s="61"/>
      <c r="C138" s="273" t="s">
        <v>381</v>
      </c>
      <c r="D138" s="92">
        <f>50000+2806.62+30000</f>
        <v>82806.62</v>
      </c>
      <c r="E138" s="92">
        <f>D138</f>
        <v>82806.62</v>
      </c>
      <c r="F138" s="314">
        <f>6003+897+1518+351.9+1367+8700+1300+2200+510</f>
        <v>22846.9</v>
      </c>
      <c r="G138" s="62"/>
      <c r="H138" s="62"/>
      <c r="I138" s="62">
        <f>SUM(F138:H138)</f>
        <v>22846.9</v>
      </c>
      <c r="J138" s="62">
        <f>D138-F138</f>
        <v>59959.719999999994</v>
      </c>
      <c r="K138" s="62">
        <f>E138-F138</f>
        <v>59959.719999999994</v>
      </c>
    </row>
    <row r="139" spans="1:11" s="21" customFormat="1" ht="21" customHeight="1" hidden="1">
      <c r="A139" s="60" t="s">
        <v>150</v>
      </c>
      <c r="B139" s="61"/>
      <c r="C139" s="273" t="s">
        <v>452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21" customHeight="1" hidden="1">
      <c r="A140" s="82" t="s">
        <v>58</v>
      </c>
      <c r="B140" s="61"/>
      <c r="C140" s="273" t="s">
        <v>453</v>
      </c>
      <c r="D140" s="92">
        <v>0</v>
      </c>
      <c r="E140" s="92">
        <v>0</v>
      </c>
      <c r="F140" s="314">
        <v>0</v>
      </c>
      <c r="G140" s="62"/>
      <c r="H140" s="62"/>
      <c r="I140" s="62">
        <f>SUM(F140:H140)</f>
        <v>0</v>
      </c>
      <c r="J140" s="62">
        <f>D140-F140</f>
        <v>0</v>
      </c>
      <c r="K140" s="62">
        <f>E140-F140</f>
        <v>0</v>
      </c>
    </row>
    <row r="141" spans="1:11" s="21" customFormat="1" ht="19.5" customHeight="1" hidden="1">
      <c r="A141" s="99" t="s">
        <v>235</v>
      </c>
      <c r="B141" s="61"/>
      <c r="C141" s="80" t="s">
        <v>383</v>
      </c>
      <c r="D141" s="79">
        <f>SUM(D142:D143)</f>
        <v>0</v>
      </c>
      <c r="E141" s="79">
        <f aca="true" t="shared" si="54" ref="E141:K141">SUM(E142:E143)</f>
        <v>0</v>
      </c>
      <c r="F141" s="316">
        <f>F142</f>
        <v>0</v>
      </c>
      <c r="G141" s="79">
        <f t="shared" si="54"/>
        <v>0</v>
      </c>
      <c r="H141" s="79">
        <f t="shared" si="54"/>
        <v>0</v>
      </c>
      <c r="I141" s="79">
        <f t="shared" si="54"/>
        <v>0</v>
      </c>
      <c r="J141" s="79">
        <f t="shared" si="54"/>
        <v>0</v>
      </c>
      <c r="K141" s="79">
        <f t="shared" si="54"/>
        <v>0</v>
      </c>
    </row>
    <row r="142" spans="1:11" s="21" customFormat="1" ht="15.75" customHeight="1" hidden="1">
      <c r="A142" s="82" t="s">
        <v>55</v>
      </c>
      <c r="B142" s="61"/>
      <c r="C142" s="273" t="s">
        <v>458</v>
      </c>
      <c r="D142" s="92">
        <v>0</v>
      </c>
      <c r="E142" s="92"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15.75" customHeight="1" hidden="1">
      <c r="A143" s="60" t="s">
        <v>182</v>
      </c>
      <c r="B143" s="61"/>
      <c r="C143" s="273" t="s">
        <v>402</v>
      </c>
      <c r="D143" s="92">
        <v>0</v>
      </c>
      <c r="E143" s="92">
        <f>D143</f>
        <v>0</v>
      </c>
      <c r="F143" s="314">
        <v>0</v>
      </c>
      <c r="G143" s="62">
        <v>0</v>
      </c>
      <c r="H143" s="62">
        <v>0</v>
      </c>
      <c r="I143" s="62">
        <f>SUM(F143:H143)</f>
        <v>0</v>
      </c>
      <c r="J143" s="62">
        <f>D143-F143</f>
        <v>0</v>
      </c>
      <c r="K143" s="62">
        <f>E143-F143</f>
        <v>0</v>
      </c>
    </row>
    <row r="144" spans="1:11" s="21" customFormat="1" ht="22.5" customHeight="1">
      <c r="A144" s="232" t="s">
        <v>478</v>
      </c>
      <c r="B144" s="218"/>
      <c r="C144" s="228" t="s">
        <v>91</v>
      </c>
      <c r="D144" s="211">
        <f>D127+D134+D136+D126</f>
        <v>203023.62</v>
      </c>
      <c r="E144" s="211">
        <f>E127+E134+E136+E126</f>
        <v>203023.62</v>
      </c>
      <c r="F144" s="313">
        <f>F127+F134+F136+F141</f>
        <v>80977.43</v>
      </c>
      <c r="G144" s="211">
        <f>G127+G134+G136+G141</f>
        <v>9114</v>
      </c>
      <c r="H144" s="211">
        <f>H127+H134+H136+H141</f>
        <v>9114</v>
      </c>
      <c r="I144" s="211">
        <f>I127+I134+I136+I141</f>
        <v>50335.9</v>
      </c>
      <c r="J144" s="211">
        <f>D144-F144</f>
        <v>122046.19</v>
      </c>
      <c r="K144" s="211">
        <f>E144-F144</f>
        <v>122046.19</v>
      </c>
    </row>
    <row r="145" spans="1:11" s="21" customFormat="1" ht="15.75" customHeight="1" hidden="1">
      <c r="A145" s="72" t="s">
        <v>271</v>
      </c>
      <c r="B145" s="63"/>
      <c r="C145" s="78" t="s">
        <v>106</v>
      </c>
      <c r="D145" s="65">
        <f>D144</f>
        <v>203023.62</v>
      </c>
      <c r="E145" s="65">
        <f>E144</f>
        <v>203023.62</v>
      </c>
      <c r="F145" s="313">
        <f>F126+F144</f>
        <v>80977.43</v>
      </c>
      <c r="G145" s="65">
        <f>G126+G144</f>
        <v>9114</v>
      </c>
      <c r="H145" s="65">
        <f>H126+H144</f>
        <v>9114</v>
      </c>
      <c r="I145" s="65">
        <f>I126+I144</f>
        <v>50335.9</v>
      </c>
      <c r="J145" s="65">
        <f>D145-F145</f>
        <v>122046.19</v>
      </c>
      <c r="K145" s="65">
        <f>E145-F145</f>
        <v>122046.19</v>
      </c>
    </row>
    <row r="146" spans="1:11" s="21" customFormat="1" ht="24" customHeight="1">
      <c r="A146" s="226" t="s">
        <v>445</v>
      </c>
      <c r="B146" s="215"/>
      <c r="C146" s="223" t="s">
        <v>541</v>
      </c>
      <c r="D146" s="224">
        <f>D147+D148</f>
        <v>21678</v>
      </c>
      <c r="E146" s="224">
        <f aca="true" t="shared" si="55" ref="E146:J146">E147+E148</f>
        <v>21678</v>
      </c>
      <c r="F146" s="316">
        <f t="shared" si="55"/>
        <v>13143.73</v>
      </c>
      <c r="G146" s="224">
        <f t="shared" si="55"/>
        <v>0</v>
      </c>
      <c r="H146" s="224">
        <f t="shared" si="55"/>
        <v>0</v>
      </c>
      <c r="I146" s="224">
        <f t="shared" si="55"/>
        <v>13143.73</v>
      </c>
      <c r="J146" s="224">
        <f t="shared" si="55"/>
        <v>28400</v>
      </c>
      <c r="K146" s="224">
        <f>K147+K148</f>
        <v>8534.27</v>
      </c>
    </row>
    <row r="147" spans="1:13" s="21" customFormat="1" ht="15.75" customHeight="1">
      <c r="A147" s="269" t="s">
        <v>54</v>
      </c>
      <c r="B147" s="244"/>
      <c r="C147" s="274" t="s">
        <v>542</v>
      </c>
      <c r="D147" s="245">
        <f>10000+650+6000</f>
        <v>16650</v>
      </c>
      <c r="E147" s="245">
        <f>D147</f>
        <v>16650</v>
      </c>
      <c r="F147" s="245">
        <f>60.29+59.53+2808.77+44.68+48.87+67.53+1328.3+67.53+67.53+3001.66+99+68.4+1945+99.24+341.13+276.27</f>
        <v>10383.73</v>
      </c>
      <c r="G147" s="245">
        <v>0</v>
      </c>
      <c r="H147" s="245">
        <v>0</v>
      </c>
      <c r="I147" s="245">
        <f>F147</f>
        <v>10383.73</v>
      </c>
      <c r="J147" s="245">
        <v>28400</v>
      </c>
      <c r="K147" s="245">
        <f>D147-F147</f>
        <v>6266.27</v>
      </c>
      <c r="L147" s="79">
        <v>28400</v>
      </c>
      <c r="M147" s="79">
        <v>28400</v>
      </c>
    </row>
    <row r="148" spans="1:13" s="21" customFormat="1" ht="15.75" customHeight="1">
      <c r="A148" s="82" t="s">
        <v>55</v>
      </c>
      <c r="B148" s="63"/>
      <c r="C148" s="273" t="s">
        <v>543</v>
      </c>
      <c r="D148" s="205">
        <f>5678-650</f>
        <v>5028</v>
      </c>
      <c r="E148" s="205">
        <f>D148</f>
        <v>5028</v>
      </c>
      <c r="F148" s="320">
        <f>1260+1446+54</f>
        <v>2760</v>
      </c>
      <c r="G148" s="205"/>
      <c r="H148" s="205"/>
      <c r="I148" s="205">
        <f>F148</f>
        <v>2760</v>
      </c>
      <c r="J148" s="205"/>
      <c r="K148" s="205">
        <f>D148-F148</f>
        <v>2268</v>
      </c>
      <c r="L148" s="206"/>
      <c r="M148" s="206"/>
    </row>
    <row r="149" spans="1:11" s="59" customFormat="1" ht="26.25" customHeight="1" hidden="1">
      <c r="A149" s="225" t="s">
        <v>216</v>
      </c>
      <c r="B149" s="222"/>
      <c r="C149" s="223" t="s">
        <v>404</v>
      </c>
      <c r="D149" s="224">
        <f>D150+D151</f>
        <v>13000</v>
      </c>
      <c r="E149" s="205">
        <f>D149</f>
        <v>13000</v>
      </c>
      <c r="F149" s="316">
        <f aca="true" t="shared" si="56" ref="F149:K149">F150+F151</f>
        <v>9179</v>
      </c>
      <c r="G149" s="224">
        <f t="shared" si="56"/>
        <v>0</v>
      </c>
      <c r="H149" s="224">
        <f t="shared" si="56"/>
        <v>0</v>
      </c>
      <c r="I149" s="224">
        <f t="shared" si="56"/>
        <v>9179</v>
      </c>
      <c r="J149" s="224" t="e">
        <f t="shared" si="56"/>
        <v>#VALUE!</v>
      </c>
      <c r="K149" s="224">
        <f t="shared" si="56"/>
        <v>3821</v>
      </c>
    </row>
    <row r="150" spans="1:11" s="59" customFormat="1" ht="15.75" customHeight="1" hidden="1">
      <c r="A150" s="82" t="s">
        <v>55</v>
      </c>
      <c r="B150" s="61" t="s">
        <v>50</v>
      </c>
      <c r="C150" s="273" t="s">
        <v>403</v>
      </c>
      <c r="D150" s="92">
        <v>0</v>
      </c>
      <c r="E150" s="205">
        <f>D150</f>
        <v>0</v>
      </c>
      <c r="F150" s="314">
        <v>0</v>
      </c>
      <c r="G150" s="62">
        <v>0</v>
      </c>
      <c r="H150" s="62">
        <v>0</v>
      </c>
      <c r="I150" s="62">
        <f>SUM(F150:H150)</f>
        <v>0</v>
      </c>
      <c r="J150" s="62">
        <f>D150-F150</f>
        <v>0</v>
      </c>
      <c r="K150" s="62">
        <f>E150-F150</f>
        <v>0</v>
      </c>
    </row>
    <row r="151" spans="1:11" s="59" customFormat="1" ht="15.75" customHeight="1">
      <c r="A151" s="82" t="s">
        <v>377</v>
      </c>
      <c r="B151" s="61" t="s">
        <v>50</v>
      </c>
      <c r="C151" s="273" t="s">
        <v>548</v>
      </c>
      <c r="D151" s="92">
        <v>13000</v>
      </c>
      <c r="E151" s="205">
        <f>D151</f>
        <v>13000</v>
      </c>
      <c r="F151" s="314">
        <f>4600+4579</f>
        <v>9179</v>
      </c>
      <c r="G151" s="62">
        <v>0</v>
      </c>
      <c r="H151" s="62">
        <v>0</v>
      </c>
      <c r="I151" s="62">
        <f>SUM(F151:H151)</f>
        <v>9179</v>
      </c>
      <c r="J151" s="62" t="s">
        <v>87</v>
      </c>
      <c r="K151" s="62">
        <f>E151-F151</f>
        <v>3821</v>
      </c>
    </row>
    <row r="152" spans="1:11" s="21" customFormat="1" ht="15.75" customHeight="1" hidden="1">
      <c r="A152" s="93" t="s">
        <v>262</v>
      </c>
      <c r="B152" s="61"/>
      <c r="C152" s="64" t="s">
        <v>261</v>
      </c>
      <c r="D152" s="65">
        <f>D146+D149</f>
        <v>34678</v>
      </c>
      <c r="E152" s="65">
        <f aca="true" t="shared" si="57" ref="E152:K152">E146+E149</f>
        <v>34678</v>
      </c>
      <c r="F152" s="318">
        <f>F146+F149</f>
        <v>22322.73</v>
      </c>
      <c r="G152" s="87">
        <f t="shared" si="57"/>
        <v>0</v>
      </c>
      <c r="H152" s="87">
        <f t="shared" si="57"/>
        <v>0</v>
      </c>
      <c r="I152" s="87">
        <f t="shared" si="57"/>
        <v>22322.73</v>
      </c>
      <c r="J152" s="87" t="e">
        <f t="shared" si="57"/>
        <v>#VALUE!</v>
      </c>
      <c r="K152" s="87">
        <f t="shared" si="57"/>
        <v>12355.27</v>
      </c>
    </row>
    <row r="153" spans="1:11" s="59" customFormat="1" ht="15.75" customHeight="1" hidden="1">
      <c r="A153" s="95" t="s">
        <v>217</v>
      </c>
      <c r="B153" s="70"/>
      <c r="C153" s="80" t="s">
        <v>367</v>
      </c>
      <c r="D153" s="79">
        <f aca="true" t="shared" si="58" ref="D153:K153">SUM(D154:D154)</f>
        <v>0</v>
      </c>
      <c r="E153" s="79">
        <f t="shared" si="58"/>
        <v>0</v>
      </c>
      <c r="F153" s="316">
        <f>F154</f>
        <v>0</v>
      </c>
      <c r="G153" s="79">
        <f t="shared" si="58"/>
        <v>0</v>
      </c>
      <c r="H153" s="79">
        <f t="shared" si="58"/>
        <v>0</v>
      </c>
      <c r="I153" s="79">
        <f t="shared" si="58"/>
        <v>0</v>
      </c>
      <c r="J153" s="79">
        <f t="shared" si="58"/>
        <v>0</v>
      </c>
      <c r="K153" s="79">
        <f t="shared" si="58"/>
        <v>0</v>
      </c>
    </row>
    <row r="154" spans="1:11" s="59" customFormat="1" ht="15.75" customHeight="1" hidden="1">
      <c r="A154" s="89" t="s">
        <v>224</v>
      </c>
      <c r="B154" s="85" t="s">
        <v>50</v>
      </c>
      <c r="C154" s="273" t="s">
        <v>368</v>
      </c>
      <c r="D154" s="92">
        <v>0</v>
      </c>
      <c r="E154" s="92">
        <f>D154</f>
        <v>0</v>
      </c>
      <c r="F154" s="314">
        <v>0</v>
      </c>
      <c r="G154" s="62">
        <v>0</v>
      </c>
      <c r="H154" s="62">
        <v>0</v>
      </c>
      <c r="I154" s="62">
        <f>SUM(F154:H154)</f>
        <v>0</v>
      </c>
      <c r="J154" s="62">
        <f>D154-F154</f>
        <v>0</v>
      </c>
      <c r="K154" s="62">
        <f>E154-F154</f>
        <v>0</v>
      </c>
    </row>
    <row r="155" spans="1:11" s="59" customFormat="1" ht="15.75" customHeight="1" hidden="1">
      <c r="A155" s="93" t="s">
        <v>264</v>
      </c>
      <c r="B155" s="85"/>
      <c r="C155" s="64" t="s">
        <v>263</v>
      </c>
      <c r="D155" s="65">
        <f>D153</f>
        <v>0</v>
      </c>
      <c r="E155" s="65">
        <f>D155</f>
        <v>0</v>
      </c>
      <c r="F155" s="318">
        <f>F153</f>
        <v>0</v>
      </c>
      <c r="G155" s="87">
        <f>G153</f>
        <v>0</v>
      </c>
      <c r="H155" s="87">
        <f>H153</f>
        <v>0</v>
      </c>
      <c r="I155" s="87">
        <f>I153</f>
        <v>0</v>
      </c>
      <c r="J155" s="87">
        <f>D155-F155</f>
        <v>0</v>
      </c>
      <c r="K155" s="87">
        <f>E155-F155</f>
        <v>0</v>
      </c>
    </row>
    <row r="156" spans="1:11" s="21" customFormat="1" ht="30.75" customHeight="1">
      <c r="A156" s="232" t="s">
        <v>477</v>
      </c>
      <c r="B156" s="218"/>
      <c r="C156" s="210" t="s">
        <v>230</v>
      </c>
      <c r="D156" s="211">
        <f>D152</f>
        <v>34678</v>
      </c>
      <c r="E156" s="211">
        <f>E152</f>
        <v>34678</v>
      </c>
      <c r="F156" s="313">
        <f>F146+F149</f>
        <v>22322.73</v>
      </c>
      <c r="G156" s="211">
        <f>G152</f>
        <v>0</v>
      </c>
      <c r="H156" s="211">
        <f>H152</f>
        <v>0</v>
      </c>
      <c r="I156" s="211">
        <f>I152</f>
        <v>22322.73</v>
      </c>
      <c r="J156" s="211" t="e">
        <f>J152</f>
        <v>#VALUE!</v>
      </c>
      <c r="K156" s="211">
        <f>K152</f>
        <v>12355.27</v>
      </c>
    </row>
    <row r="157" spans="1:11" s="59" customFormat="1" ht="15.75" customHeight="1" hidden="1">
      <c r="A157" s="95" t="s">
        <v>218</v>
      </c>
      <c r="B157" s="70"/>
      <c r="C157" s="80" t="s">
        <v>382</v>
      </c>
      <c r="D157" s="79">
        <f>SUM(D158:D158)</f>
        <v>109414.32</v>
      </c>
      <c r="E157" s="79">
        <f aca="true" t="shared" si="59" ref="E157:K157">SUM(E158:E158)</f>
        <v>109414.32</v>
      </c>
      <c r="F157" s="316">
        <f>F158</f>
        <v>54707.16</v>
      </c>
      <c r="G157" s="79">
        <f t="shared" si="59"/>
        <v>0</v>
      </c>
      <c r="H157" s="79">
        <f t="shared" si="59"/>
        <v>0</v>
      </c>
      <c r="I157" s="79">
        <f t="shared" si="59"/>
        <v>54707.16</v>
      </c>
      <c r="J157" s="79">
        <f t="shared" si="59"/>
        <v>54707.16</v>
      </c>
      <c r="K157" s="79">
        <f t="shared" si="59"/>
        <v>54707.16</v>
      </c>
    </row>
    <row r="158" spans="1:11" s="21" customFormat="1" ht="33" customHeight="1">
      <c r="A158" s="82" t="s">
        <v>192</v>
      </c>
      <c r="B158" s="61" t="s">
        <v>50</v>
      </c>
      <c r="C158" s="273" t="s">
        <v>544</v>
      </c>
      <c r="D158" s="92">
        <f>54800+54614.32</f>
        <v>109414.32</v>
      </c>
      <c r="E158" s="92">
        <f>D158</f>
        <v>109414.32</v>
      </c>
      <c r="F158" s="314">
        <f>4558.93+4558.93+9117.86+9117.86+4558.93+4558.93+4558.93+4558.93+4558.93+4558.93</f>
        <v>54707.16</v>
      </c>
      <c r="G158" s="62">
        <v>0</v>
      </c>
      <c r="H158" s="62">
        <v>0</v>
      </c>
      <c r="I158" s="62">
        <f>SUM(F158:H158)</f>
        <v>54707.16</v>
      </c>
      <c r="J158" s="62">
        <f>D158-F158</f>
        <v>54707.16</v>
      </c>
      <c r="K158" s="62">
        <f>E158-F158</f>
        <v>54707.16</v>
      </c>
    </row>
    <row r="159" spans="1:11" s="21" customFormat="1" ht="16.5" customHeight="1" hidden="1">
      <c r="A159" s="93" t="s">
        <v>104</v>
      </c>
      <c r="B159" s="63"/>
      <c r="C159" s="64" t="s">
        <v>92</v>
      </c>
      <c r="D159" s="65">
        <f aca="true" t="shared" si="60" ref="D159:K159">D158</f>
        <v>109414.32</v>
      </c>
      <c r="E159" s="65">
        <f t="shared" si="60"/>
        <v>109414.32</v>
      </c>
      <c r="F159" s="313">
        <f>F157</f>
        <v>54707.16</v>
      </c>
      <c r="G159" s="65">
        <f t="shared" si="60"/>
        <v>0</v>
      </c>
      <c r="H159" s="65">
        <f t="shared" si="60"/>
        <v>0</v>
      </c>
      <c r="I159" s="65">
        <f t="shared" si="60"/>
        <v>54707.16</v>
      </c>
      <c r="J159" s="65">
        <f t="shared" si="60"/>
        <v>54707.16</v>
      </c>
      <c r="K159" s="65">
        <f t="shared" si="60"/>
        <v>54707.16</v>
      </c>
    </row>
    <row r="160" spans="1:11" s="59" customFormat="1" ht="17.25" customHeight="1" hidden="1">
      <c r="A160" s="95" t="s">
        <v>134</v>
      </c>
      <c r="B160" s="70"/>
      <c r="C160" s="80" t="s">
        <v>138</v>
      </c>
      <c r="D160" s="79">
        <f>SUM(D161:D161)</f>
        <v>0</v>
      </c>
      <c r="E160" s="79">
        <f aca="true" t="shared" si="61" ref="E160:K160">SUM(E161:E161)</f>
        <v>0</v>
      </c>
      <c r="F160" s="316">
        <f t="shared" si="61"/>
        <v>0</v>
      </c>
      <c r="G160" s="79">
        <f t="shared" si="61"/>
        <v>0</v>
      </c>
      <c r="H160" s="79">
        <f t="shared" si="61"/>
        <v>0</v>
      </c>
      <c r="I160" s="79">
        <f t="shared" si="61"/>
        <v>0</v>
      </c>
      <c r="J160" s="79">
        <f t="shared" si="61"/>
        <v>0</v>
      </c>
      <c r="K160" s="79">
        <f t="shared" si="61"/>
        <v>0</v>
      </c>
    </row>
    <row r="161" spans="1:11" s="21" customFormat="1" ht="19.5" customHeight="1" hidden="1">
      <c r="A161" s="60" t="s">
        <v>135</v>
      </c>
      <c r="B161" s="61" t="s">
        <v>50</v>
      </c>
      <c r="C161" s="273" t="s">
        <v>139</v>
      </c>
      <c r="D161" s="92"/>
      <c r="E161" s="92">
        <f>D161</f>
        <v>0</v>
      </c>
      <c r="F161" s="314"/>
      <c r="G161" s="62">
        <v>0</v>
      </c>
      <c r="H161" s="62">
        <v>0</v>
      </c>
      <c r="I161" s="62">
        <f>SUM(F161:H161)</f>
        <v>0</v>
      </c>
      <c r="J161" s="62">
        <f>D161-F161</f>
        <v>0</v>
      </c>
      <c r="K161" s="62">
        <f>E161-F161</f>
        <v>0</v>
      </c>
    </row>
    <row r="162" spans="1:11" s="21" customFormat="1" ht="19.5" customHeight="1" hidden="1">
      <c r="A162" s="93" t="s">
        <v>147</v>
      </c>
      <c r="B162" s="63"/>
      <c r="C162" s="64" t="s">
        <v>136</v>
      </c>
      <c r="D162" s="65">
        <f aca="true" t="shared" si="62" ref="D162:K162">D161</f>
        <v>0</v>
      </c>
      <c r="E162" s="65">
        <f t="shared" si="62"/>
        <v>0</v>
      </c>
      <c r="F162" s="313">
        <f t="shared" si="62"/>
        <v>0</v>
      </c>
      <c r="G162" s="65">
        <f t="shared" si="62"/>
        <v>0</v>
      </c>
      <c r="H162" s="65">
        <f t="shared" si="62"/>
        <v>0</v>
      </c>
      <c r="I162" s="65">
        <f t="shared" si="62"/>
        <v>0</v>
      </c>
      <c r="J162" s="65">
        <f t="shared" si="62"/>
        <v>0</v>
      </c>
      <c r="K162" s="65">
        <f t="shared" si="62"/>
        <v>0</v>
      </c>
    </row>
    <row r="163" spans="1:11" s="59" customFormat="1" ht="66.75" customHeight="1" hidden="1">
      <c r="A163" s="96" t="s">
        <v>118</v>
      </c>
      <c r="B163" s="70"/>
      <c r="C163" s="80" t="s">
        <v>119</v>
      </c>
      <c r="D163" s="79">
        <f>SUM(D164:D164)</f>
        <v>0</v>
      </c>
      <c r="E163" s="79">
        <f aca="true" t="shared" si="63" ref="E163:K163">SUM(E164:E164)</f>
        <v>0</v>
      </c>
      <c r="F163" s="316">
        <f t="shared" si="63"/>
        <v>0</v>
      </c>
      <c r="G163" s="79">
        <f t="shared" si="63"/>
        <v>0</v>
      </c>
      <c r="H163" s="79">
        <f t="shared" si="63"/>
        <v>0</v>
      </c>
      <c r="I163" s="79">
        <f t="shared" si="63"/>
        <v>0</v>
      </c>
      <c r="J163" s="79">
        <f t="shared" si="63"/>
        <v>0</v>
      </c>
      <c r="K163" s="79">
        <f t="shared" si="63"/>
        <v>0</v>
      </c>
    </row>
    <row r="164" spans="1:11" s="21" customFormat="1" ht="30" customHeight="1" hidden="1">
      <c r="A164" s="60" t="s">
        <v>60</v>
      </c>
      <c r="B164" s="61" t="s">
        <v>50</v>
      </c>
      <c r="C164" s="274" t="s">
        <v>129</v>
      </c>
      <c r="D164" s="92"/>
      <c r="E164" s="92">
        <f>D164</f>
        <v>0</v>
      </c>
      <c r="F164" s="314"/>
      <c r="G164" s="62">
        <v>0</v>
      </c>
      <c r="H164" s="62">
        <v>0</v>
      </c>
      <c r="I164" s="62">
        <f>SUM(F164:H164)</f>
        <v>0</v>
      </c>
      <c r="J164" s="62">
        <f aca="true" t="shared" si="64" ref="J164:J175">D164-F164</f>
        <v>0</v>
      </c>
      <c r="K164" s="62">
        <f>E164-F164</f>
        <v>0</v>
      </c>
    </row>
    <row r="165" spans="1:11" s="59" customFormat="1" ht="84" customHeight="1" hidden="1">
      <c r="A165" s="96" t="s">
        <v>120</v>
      </c>
      <c r="B165" s="70"/>
      <c r="C165" s="84" t="s">
        <v>121</v>
      </c>
      <c r="D165" s="79">
        <f>SUM(D166:D166)</f>
        <v>0</v>
      </c>
      <c r="E165" s="79">
        <f aca="true" t="shared" si="65" ref="E165:K165">SUM(E166:E166)</f>
        <v>0</v>
      </c>
      <c r="F165" s="316">
        <f t="shared" si="65"/>
        <v>0</v>
      </c>
      <c r="G165" s="79">
        <f t="shared" si="65"/>
        <v>0</v>
      </c>
      <c r="H165" s="79">
        <f t="shared" si="65"/>
        <v>0</v>
      </c>
      <c r="I165" s="79">
        <f t="shared" si="65"/>
        <v>0</v>
      </c>
      <c r="J165" s="79">
        <f t="shared" si="65"/>
        <v>0</v>
      </c>
      <c r="K165" s="79">
        <f t="shared" si="65"/>
        <v>0</v>
      </c>
    </row>
    <row r="166" spans="1:11" s="21" customFormat="1" ht="30" customHeight="1" hidden="1">
      <c r="A166" s="60" t="s">
        <v>60</v>
      </c>
      <c r="B166" s="61" t="s">
        <v>50</v>
      </c>
      <c r="C166" s="274" t="s">
        <v>130</v>
      </c>
      <c r="D166" s="92"/>
      <c r="E166" s="92">
        <f>D166</f>
        <v>0</v>
      </c>
      <c r="F166" s="314"/>
      <c r="G166" s="62">
        <v>0</v>
      </c>
      <c r="H166" s="62">
        <v>0</v>
      </c>
      <c r="I166" s="62">
        <f>SUM(F166:H166)</f>
        <v>0</v>
      </c>
      <c r="J166" s="62">
        <f t="shared" si="64"/>
        <v>0</v>
      </c>
      <c r="K166" s="62">
        <f>E166-F166</f>
        <v>0</v>
      </c>
    </row>
    <row r="167" spans="1:11" s="59" customFormat="1" ht="58.5" customHeight="1" hidden="1">
      <c r="A167" s="96" t="s">
        <v>122</v>
      </c>
      <c r="B167" s="70"/>
      <c r="C167" s="84" t="s">
        <v>123</v>
      </c>
      <c r="D167" s="79">
        <f>SUM(D168:D168)</f>
        <v>0</v>
      </c>
      <c r="E167" s="79">
        <f aca="true" t="shared" si="66" ref="E167:K167">SUM(E168:E168)</f>
        <v>0</v>
      </c>
      <c r="F167" s="316">
        <f t="shared" si="66"/>
        <v>0</v>
      </c>
      <c r="G167" s="79">
        <f t="shared" si="66"/>
        <v>0</v>
      </c>
      <c r="H167" s="79">
        <f t="shared" si="66"/>
        <v>0</v>
      </c>
      <c r="I167" s="79">
        <f t="shared" si="66"/>
        <v>0</v>
      </c>
      <c r="J167" s="79">
        <f t="shared" si="66"/>
        <v>0</v>
      </c>
      <c r="K167" s="79">
        <f t="shared" si="66"/>
        <v>0</v>
      </c>
    </row>
    <row r="168" spans="1:11" s="21" customFormat="1" ht="30" customHeight="1" hidden="1">
      <c r="A168" s="60" t="s">
        <v>60</v>
      </c>
      <c r="B168" s="61" t="s">
        <v>50</v>
      </c>
      <c r="C168" s="274" t="s">
        <v>131</v>
      </c>
      <c r="D168" s="92"/>
      <c r="E168" s="92">
        <f>D168</f>
        <v>0</v>
      </c>
      <c r="F168" s="314"/>
      <c r="G168" s="62">
        <v>0</v>
      </c>
      <c r="H168" s="62">
        <v>0</v>
      </c>
      <c r="I168" s="62">
        <f>SUM(F168:H168)</f>
        <v>0</v>
      </c>
      <c r="J168" s="62">
        <f t="shared" si="64"/>
        <v>0</v>
      </c>
      <c r="K168" s="62">
        <f>E168-F168</f>
        <v>0</v>
      </c>
    </row>
    <row r="169" spans="1:11" s="21" customFormat="1" ht="24.75" customHeight="1">
      <c r="A169" s="219" t="s">
        <v>273</v>
      </c>
      <c r="B169" s="219"/>
      <c r="C169" s="213" t="s">
        <v>265</v>
      </c>
      <c r="D169" s="214">
        <f>D159</f>
        <v>109414.32</v>
      </c>
      <c r="E169" s="214">
        <f>D169</f>
        <v>109414.32</v>
      </c>
      <c r="F169" s="313">
        <f>F159</f>
        <v>54707.16</v>
      </c>
      <c r="G169" s="214">
        <f>G159</f>
        <v>0</v>
      </c>
      <c r="H169" s="214">
        <f>H159</f>
        <v>0</v>
      </c>
      <c r="I169" s="214">
        <f>I159</f>
        <v>54707.16</v>
      </c>
      <c r="J169" s="214">
        <f>D169-F169</f>
        <v>54707.16</v>
      </c>
      <c r="K169" s="214">
        <f>E169-F169</f>
        <v>54707.16</v>
      </c>
    </row>
    <row r="170" spans="1:11" s="59" customFormat="1" ht="27" customHeight="1">
      <c r="A170" s="95" t="s">
        <v>281</v>
      </c>
      <c r="B170" s="61"/>
      <c r="C170" s="80" t="s">
        <v>545</v>
      </c>
      <c r="D170" s="79">
        <f>SUM(D171:D171)</f>
        <v>2000</v>
      </c>
      <c r="E170" s="79">
        <f aca="true" t="shared" si="67" ref="E170:K170">SUM(E171:E171)</f>
        <v>2000</v>
      </c>
      <c r="F170" s="316">
        <f>F171</f>
        <v>0</v>
      </c>
      <c r="G170" s="79">
        <f t="shared" si="67"/>
        <v>0</v>
      </c>
      <c r="H170" s="79">
        <f t="shared" si="67"/>
        <v>0</v>
      </c>
      <c r="I170" s="79">
        <f t="shared" si="67"/>
        <v>0</v>
      </c>
      <c r="J170" s="79">
        <f t="shared" si="67"/>
        <v>2000</v>
      </c>
      <c r="K170" s="79">
        <f t="shared" si="67"/>
        <v>2000</v>
      </c>
    </row>
    <row r="171" spans="1:11" s="21" customFormat="1" ht="27" customHeight="1">
      <c r="A171" s="89" t="s">
        <v>224</v>
      </c>
      <c r="B171" s="61" t="s">
        <v>50</v>
      </c>
      <c r="C171" s="273" t="s">
        <v>546</v>
      </c>
      <c r="D171" s="92">
        <v>2000</v>
      </c>
      <c r="E171" s="92">
        <f>D171</f>
        <v>2000</v>
      </c>
      <c r="F171" s="314"/>
      <c r="G171" s="62">
        <v>0</v>
      </c>
      <c r="H171" s="62">
        <v>0</v>
      </c>
      <c r="I171" s="62">
        <f>SUM(F171:H171)</f>
        <v>0</v>
      </c>
      <c r="J171" s="62">
        <f t="shared" si="64"/>
        <v>2000</v>
      </c>
      <c r="K171" s="62">
        <f>E171-F171</f>
        <v>2000</v>
      </c>
    </row>
    <row r="172" spans="1:11" s="59" customFormat="1" ht="40.5" customHeight="1" hidden="1">
      <c r="A172" s="96" t="s">
        <v>124</v>
      </c>
      <c r="B172" s="70"/>
      <c r="C172" s="80" t="s">
        <v>125</v>
      </c>
      <c r="D172" s="79">
        <f aca="true" t="shared" si="68" ref="D172:K172">SUM(D173:D173)</f>
        <v>0</v>
      </c>
      <c r="E172" s="79">
        <f t="shared" si="68"/>
        <v>0</v>
      </c>
      <c r="F172" s="316">
        <f t="shared" si="68"/>
        <v>0</v>
      </c>
      <c r="G172" s="79">
        <f t="shared" si="68"/>
        <v>0</v>
      </c>
      <c r="H172" s="79">
        <f t="shared" si="68"/>
        <v>0</v>
      </c>
      <c r="I172" s="79">
        <f t="shared" si="68"/>
        <v>0</v>
      </c>
      <c r="J172" s="79">
        <f t="shared" si="68"/>
        <v>0</v>
      </c>
      <c r="K172" s="79">
        <f t="shared" si="68"/>
        <v>0</v>
      </c>
    </row>
    <row r="173" spans="1:11" s="21" customFormat="1" ht="30" customHeight="1" hidden="1">
      <c r="A173" s="60" t="s">
        <v>60</v>
      </c>
      <c r="B173" s="61" t="s">
        <v>50</v>
      </c>
      <c r="C173" s="273" t="s">
        <v>132</v>
      </c>
      <c r="D173" s="92"/>
      <c r="E173" s="92">
        <f>D173</f>
        <v>0</v>
      </c>
      <c r="F173" s="314"/>
      <c r="G173" s="62">
        <v>0</v>
      </c>
      <c r="H173" s="62">
        <v>0</v>
      </c>
      <c r="I173" s="62">
        <f>SUM(F173:H173)</f>
        <v>0</v>
      </c>
      <c r="J173" s="62">
        <f t="shared" si="64"/>
        <v>0</v>
      </c>
      <c r="K173" s="62">
        <f>E173-F173</f>
        <v>0</v>
      </c>
    </row>
    <row r="174" spans="1:11" s="59" customFormat="1" ht="58.5" customHeight="1" hidden="1">
      <c r="A174" s="96" t="s">
        <v>126</v>
      </c>
      <c r="B174" s="70"/>
      <c r="C174" s="80" t="s">
        <v>127</v>
      </c>
      <c r="D174" s="79">
        <f>SUM(D175:D175)</f>
        <v>0</v>
      </c>
      <c r="E174" s="79">
        <f aca="true" t="shared" si="69" ref="E174:K174">SUM(E175:E175)</f>
        <v>0</v>
      </c>
      <c r="F174" s="316">
        <f t="shared" si="69"/>
        <v>0</v>
      </c>
      <c r="G174" s="79">
        <f t="shared" si="69"/>
        <v>0</v>
      </c>
      <c r="H174" s="79">
        <f t="shared" si="69"/>
        <v>0</v>
      </c>
      <c r="I174" s="79">
        <f t="shared" si="69"/>
        <v>0</v>
      </c>
      <c r="J174" s="79">
        <f t="shared" si="69"/>
        <v>0</v>
      </c>
      <c r="K174" s="79">
        <f t="shared" si="69"/>
        <v>0</v>
      </c>
    </row>
    <row r="175" spans="1:11" s="21" customFormat="1" ht="30" customHeight="1" hidden="1">
      <c r="A175" s="60" t="s">
        <v>60</v>
      </c>
      <c r="B175" s="61" t="s">
        <v>50</v>
      </c>
      <c r="C175" s="273" t="s">
        <v>133</v>
      </c>
      <c r="D175" s="92"/>
      <c r="E175" s="92">
        <f>D175</f>
        <v>0</v>
      </c>
      <c r="F175" s="314">
        <v>0</v>
      </c>
      <c r="G175" s="62">
        <v>0</v>
      </c>
      <c r="H175" s="62">
        <v>0</v>
      </c>
      <c r="I175" s="62">
        <f>SUM(F175:H175)</f>
        <v>0</v>
      </c>
      <c r="J175" s="62">
        <f t="shared" si="64"/>
        <v>0</v>
      </c>
      <c r="K175" s="62">
        <f>E175-F175</f>
        <v>0</v>
      </c>
    </row>
    <row r="176" spans="1:11" s="21" customFormat="1" ht="18.75" customHeight="1" hidden="1">
      <c r="A176" s="93" t="s">
        <v>225</v>
      </c>
      <c r="B176" s="63"/>
      <c r="C176" s="64" t="s">
        <v>226</v>
      </c>
      <c r="D176" s="65">
        <f>D163+D165+D167+D170+D172+D174</f>
        <v>2000</v>
      </c>
      <c r="E176" s="65">
        <f aca="true" t="shared" si="70" ref="E176:K176">E163+E165+E167++E170+E172+E174</f>
        <v>2000</v>
      </c>
      <c r="F176" s="313">
        <f>F170</f>
        <v>0</v>
      </c>
      <c r="G176" s="65">
        <f t="shared" si="70"/>
        <v>0</v>
      </c>
      <c r="H176" s="65">
        <f t="shared" si="70"/>
        <v>0</v>
      </c>
      <c r="I176" s="65">
        <f t="shared" si="70"/>
        <v>0</v>
      </c>
      <c r="J176" s="65">
        <f t="shared" si="70"/>
        <v>2000</v>
      </c>
      <c r="K176" s="65">
        <f t="shared" si="70"/>
        <v>2000</v>
      </c>
    </row>
    <row r="177" spans="1:11" s="21" customFormat="1" ht="25.5" customHeight="1">
      <c r="A177" s="219" t="s">
        <v>272</v>
      </c>
      <c r="B177" s="215"/>
      <c r="C177" s="213" t="s">
        <v>266</v>
      </c>
      <c r="D177" s="214">
        <f>D176</f>
        <v>2000</v>
      </c>
      <c r="E177" s="214">
        <f>D177</f>
        <v>2000</v>
      </c>
      <c r="F177" s="313">
        <f>F176</f>
        <v>0</v>
      </c>
      <c r="G177" s="214">
        <f>G176</f>
        <v>0</v>
      </c>
      <c r="H177" s="214">
        <f>H176</f>
        <v>0</v>
      </c>
      <c r="I177" s="214">
        <f>I176</f>
        <v>0</v>
      </c>
      <c r="J177" s="214">
        <f>D177-F177</f>
        <v>2000</v>
      </c>
      <c r="K177" s="214">
        <f>E177-F177</f>
        <v>2000</v>
      </c>
    </row>
    <row r="178" spans="1:11" s="21" customFormat="1" ht="3.75" customHeight="1">
      <c r="A178" s="83"/>
      <c r="B178" s="63"/>
      <c r="C178" s="64"/>
      <c r="D178" s="65"/>
      <c r="E178" s="65"/>
      <c r="F178" s="313"/>
      <c r="G178" s="65"/>
      <c r="H178" s="65"/>
      <c r="I178" s="65"/>
      <c r="J178" s="65"/>
      <c r="K178" s="65"/>
    </row>
    <row r="179" spans="1:11" s="21" customFormat="1" ht="30" customHeight="1">
      <c r="A179" s="60" t="s">
        <v>61</v>
      </c>
      <c r="B179" s="61" t="s">
        <v>62</v>
      </c>
      <c r="C179" s="273" t="s">
        <v>63</v>
      </c>
      <c r="D179" s="92">
        <f>'1. Доходы бюджета (1.12)'!D16-'2. Расходы бюджета (1.12)'!D7</f>
        <v>-1079343.94</v>
      </c>
      <c r="E179" s="92">
        <f>'1. Доходы бюджета (1.12)'!D16-'2. Расходы бюджета (1.12)'!E7</f>
        <v>-1079343.94</v>
      </c>
      <c r="F179" s="314">
        <f>'1. Доходы бюджета (1.12)'!E16-'2. Расходы бюджета (1.12)'!F7</f>
        <v>-291939.3999999997</v>
      </c>
      <c r="G179" s="62" t="e">
        <f>'1. Доходы бюджета (1.12)'!F16-'2. Расходы бюджета (1.12)'!G7</f>
        <v>#REF!</v>
      </c>
      <c r="H179" s="62" t="e">
        <f>'1. Доходы бюджета (1.12)'!G16-'2. Расходы бюджета (1.12)'!H7</f>
        <v>#REF!</v>
      </c>
      <c r="I179" s="62" t="e">
        <f>'1. Доходы бюджета (1.12)'!H16-'2. Расходы бюджета (1.12)'!I7</f>
        <v>#REF!</v>
      </c>
      <c r="J179" s="62">
        <f>D179-F179</f>
        <v>-787404.5400000003</v>
      </c>
      <c r="K179" s="62">
        <f>E179-F179</f>
        <v>-787404.5400000003</v>
      </c>
    </row>
    <row r="180" spans="3:9" s="20" customFormat="1" ht="6" customHeight="1">
      <c r="C180" s="29"/>
      <c r="D180" s="29"/>
      <c r="E180" s="29"/>
      <c r="F180" s="29"/>
      <c r="G180" s="29"/>
      <c r="H180" s="30"/>
      <c r="I180" s="29"/>
    </row>
  </sheetData>
  <sheetProtection/>
  <mergeCells count="13">
    <mergeCell ref="D2:E2"/>
    <mergeCell ref="A1:K1"/>
    <mergeCell ref="A4:A5"/>
    <mergeCell ref="B4:B5"/>
    <mergeCell ref="C4:C5"/>
    <mergeCell ref="D4:D5"/>
    <mergeCell ref="F4:F5"/>
    <mergeCell ref="G4:G5"/>
    <mergeCell ref="H4:H5"/>
    <mergeCell ref="E4:E5"/>
    <mergeCell ref="I4:I5"/>
    <mergeCell ref="J4:J5"/>
    <mergeCell ref="K4:K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1">
      <selection activeCell="L12" sqref="L12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4" t="s">
        <v>23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01.08.2022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47" t="s">
        <v>4</v>
      </c>
      <c r="B6" s="349" t="s">
        <v>5</v>
      </c>
      <c r="C6" s="349" t="s">
        <v>28</v>
      </c>
      <c r="D6" s="350" t="s">
        <v>29</v>
      </c>
      <c r="E6" s="350"/>
      <c r="F6" s="350"/>
      <c r="G6" s="350"/>
      <c r="H6" s="350"/>
      <c r="I6" s="350"/>
      <c r="J6" s="350"/>
      <c r="K6" s="350"/>
      <c r="L6" s="351" t="s">
        <v>15</v>
      </c>
      <c r="M6" s="351"/>
      <c r="N6" s="351"/>
      <c r="O6" s="351"/>
      <c r="P6" s="351"/>
      <c r="Q6" s="351"/>
      <c r="R6" s="351"/>
      <c r="S6" s="351"/>
    </row>
    <row r="7" spans="1:19" s="14" customFormat="1" ht="107.25" customHeight="1">
      <c r="A7" s="348"/>
      <c r="B7" s="338"/>
      <c r="C7" s="338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1079343.94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291939.3999999997</v>
      </c>
      <c r="M9" s="56">
        <f aca="true" t="shared" si="1" ref="M9:R9">M12</f>
        <v>291939.3999999997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291939.3999999997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405</v>
      </c>
      <c r="D12" s="56">
        <f>-'2. Расходы бюджета (1.12)'!D179</f>
        <v>1079343.94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291939.3999999997</v>
      </c>
      <c r="M12" s="56">
        <f t="shared" si="2"/>
        <v>291939.3999999997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291939.3999999997</v>
      </c>
      <c r="S12" s="56">
        <v>0</v>
      </c>
    </row>
    <row r="13" spans="1:19" s="20" customFormat="1" ht="36.75">
      <c r="A13" s="53" t="s">
        <v>409</v>
      </c>
      <c r="B13" s="54" t="s">
        <v>73</v>
      </c>
      <c r="C13" s="55" t="s">
        <v>407</v>
      </c>
      <c r="D13" s="56">
        <f>D14</f>
        <v>-3381190.3000000003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-1859323.99</v>
      </c>
      <c r="M13" s="56">
        <f t="shared" si="3"/>
        <v>-1859323.99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-1859323.99</v>
      </c>
      <c r="S13" s="56">
        <v>0</v>
      </c>
    </row>
    <row r="14" spans="1:19" s="21" customFormat="1" ht="34.5" customHeight="1">
      <c r="A14" s="353" t="s">
        <v>408</v>
      </c>
      <c r="B14" s="354"/>
      <c r="C14" s="57" t="s">
        <v>406</v>
      </c>
      <c r="D14" s="239">
        <f>-'1. Доходы бюджета (1.12)'!D16</f>
        <v>-3381190.3000000003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-1859323.99</v>
      </c>
      <c r="M14" s="56">
        <f>-'1. Доходы бюджета (1.12)'!E16</f>
        <v>-1859323.99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-1859323.99</v>
      </c>
      <c r="S14" s="58">
        <v>0</v>
      </c>
    </row>
    <row r="15" spans="1:19" s="20" customFormat="1" ht="36.75">
      <c r="A15" s="53" t="s">
        <v>410</v>
      </c>
      <c r="B15" s="54" t="s">
        <v>74</v>
      </c>
      <c r="C15" s="55" t="s">
        <v>413</v>
      </c>
      <c r="D15" s="240">
        <f>D16</f>
        <v>4460534.24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2151263.3899999997</v>
      </c>
      <c r="M15" s="56">
        <f aca="true" t="shared" si="5" ref="M15:R15">M16</f>
        <v>2151263.3899999997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2151263.3899999997</v>
      </c>
      <c r="S15" s="56">
        <v>0</v>
      </c>
    </row>
    <row r="16" spans="1:19" s="21" customFormat="1" ht="34.5" customHeight="1">
      <c r="A16" s="353" t="s">
        <v>411</v>
      </c>
      <c r="B16" s="354"/>
      <c r="C16" s="57" t="s">
        <v>412</v>
      </c>
      <c r="D16" s="58">
        <f>'2. Расходы бюджета (1.12)'!D7</f>
        <v>4460534.24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2151263.3899999997</v>
      </c>
      <c r="M16" s="58">
        <f>'2. Расходы бюджета (1.12)'!F7</f>
        <v>2151263.3899999997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2151263.3899999997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52" t="s">
        <v>549</v>
      </c>
      <c r="B22" s="352"/>
      <c r="C22" s="352"/>
      <c r="D22" s="352"/>
      <c r="E22" s="352"/>
      <c r="F22" s="352"/>
      <c r="G22" s="352"/>
      <c r="H22" s="352"/>
      <c r="I22" s="352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  <mergeCell ref="L6:S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tabSelected="1" zoomScale="84" zoomScaleNormal="84" zoomScalePageLayoutView="0" workbookViewId="0" topLeftCell="A1">
      <selection activeCell="AR39" sqref="AR39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4.2539062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8.1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1.375" style="105" customWidth="1"/>
    <col min="49" max="49" width="11.875" style="0" bestFit="1" customWidth="1"/>
  </cols>
  <sheetData>
    <row r="1" spans="1:44" ht="15.75" customHeight="1">
      <c r="A1" s="103"/>
      <c r="B1" s="358"/>
      <c r="C1" s="104"/>
      <c r="D1" s="104"/>
      <c r="E1" s="104"/>
      <c r="F1" s="104"/>
      <c r="G1" s="104"/>
      <c r="H1" s="104"/>
      <c r="I1" s="104"/>
      <c r="J1" s="104"/>
      <c r="K1" s="360" t="s">
        <v>285</v>
      </c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Q1" s="106"/>
      <c r="AR1" s="106"/>
    </row>
    <row r="2" spans="1:44" ht="46.5" customHeight="1" thickBot="1">
      <c r="A2" s="103"/>
      <c r="B2" s="359"/>
      <c r="C2" s="104"/>
      <c r="D2" s="104"/>
      <c r="E2" s="104"/>
      <c r="F2" s="104"/>
      <c r="G2" s="104"/>
      <c r="H2" s="104"/>
      <c r="I2" s="104"/>
      <c r="J2" s="104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M2" s="104"/>
      <c r="AN2" s="104"/>
      <c r="AO2" s="104"/>
      <c r="AP2" s="104"/>
      <c r="AQ2" s="362" t="s">
        <v>0</v>
      </c>
      <c r="AR2" s="362"/>
    </row>
    <row r="3" spans="1:44" ht="15.75">
      <c r="A3" s="108"/>
      <c r="B3" s="359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63"/>
      <c r="X3" s="363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64" t="s">
        <v>286</v>
      </c>
      <c r="AR3" s="365"/>
    </row>
    <row r="4" spans="1:44" ht="15">
      <c r="A4" s="103"/>
      <c r="B4" s="107"/>
      <c r="C4" s="105"/>
      <c r="D4" s="105"/>
      <c r="X4" s="111" t="str">
        <f>'1. Доходы бюджета (1.12)'!C4</f>
        <v>на 01.08.2022 года</v>
      </c>
      <c r="AN4" s="110" t="s">
        <v>2</v>
      </c>
      <c r="AO4" s="110"/>
      <c r="AP4" s="110"/>
      <c r="AQ4" s="356" t="str">
        <f>X4</f>
        <v>на 01.08.2022 года</v>
      </c>
      <c r="AR4" s="357"/>
    </row>
    <row r="5" spans="1:44" ht="15">
      <c r="A5" s="103" t="s">
        <v>287</v>
      </c>
      <c r="B5" s="112"/>
      <c r="C5" s="109"/>
      <c r="D5" s="109"/>
      <c r="E5" s="204"/>
      <c r="F5" s="204"/>
      <c r="G5" s="204" t="s">
        <v>438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66" t="s">
        <v>288</v>
      </c>
      <c r="AA5" s="366"/>
      <c r="AB5" s="366"/>
      <c r="AC5" s="106"/>
      <c r="AD5" s="106"/>
      <c r="AE5" s="106"/>
      <c r="AF5" s="106"/>
      <c r="AG5" s="106"/>
      <c r="AN5" s="110" t="s">
        <v>288</v>
      </c>
      <c r="AO5" s="110"/>
      <c r="AP5" s="110"/>
      <c r="AQ5" s="356">
        <v>78612856</v>
      </c>
      <c r="AR5" s="357"/>
    </row>
    <row r="6" spans="1:44" ht="15">
      <c r="A6" s="103" t="s">
        <v>289</v>
      </c>
      <c r="B6" s="112"/>
      <c r="C6" s="109"/>
      <c r="D6" s="109"/>
      <c r="E6" s="204" t="s">
        <v>439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66" t="s">
        <v>290</v>
      </c>
      <c r="AB6" s="366"/>
      <c r="AC6" s="113"/>
      <c r="AD6" s="113"/>
      <c r="AE6" s="113"/>
      <c r="AF6" s="113"/>
      <c r="AG6" s="113"/>
      <c r="AN6" s="110" t="s">
        <v>291</v>
      </c>
      <c r="AO6" s="110"/>
      <c r="AP6" s="110"/>
      <c r="AQ6" s="356">
        <v>15626432</v>
      </c>
      <c r="AR6" s="357"/>
    </row>
    <row r="7" spans="1:44" ht="12.75">
      <c r="A7" s="103" t="s">
        <v>292</v>
      </c>
      <c r="B7" s="112"/>
      <c r="C7" s="105"/>
      <c r="D7" s="105"/>
      <c r="T7" s="107"/>
      <c r="U7" s="107"/>
      <c r="V7" s="107"/>
      <c r="W7" s="355"/>
      <c r="X7" s="355"/>
      <c r="Y7" s="109"/>
      <c r="Z7" s="109"/>
      <c r="AA7" s="109"/>
      <c r="AB7" s="109"/>
      <c r="AC7" s="109"/>
      <c r="AN7" s="110"/>
      <c r="AO7" s="110"/>
      <c r="AP7" s="110"/>
      <c r="AQ7" s="356"/>
      <c r="AR7" s="357"/>
    </row>
    <row r="8" spans="1:44" ht="13.5" thickBot="1">
      <c r="A8" s="103" t="s">
        <v>293</v>
      </c>
      <c r="B8" s="112"/>
      <c r="C8" s="105"/>
      <c r="D8" s="105"/>
      <c r="T8" s="107"/>
      <c r="U8" s="107"/>
      <c r="V8" s="107"/>
      <c r="W8" s="355"/>
      <c r="X8" s="355"/>
      <c r="Y8" s="109"/>
      <c r="Z8" s="366" t="s">
        <v>3</v>
      </c>
      <c r="AA8" s="366"/>
      <c r="AB8" s="366"/>
      <c r="AC8" s="109"/>
      <c r="AN8" s="110" t="s">
        <v>3</v>
      </c>
      <c r="AO8" s="110"/>
      <c r="AP8" s="110"/>
      <c r="AQ8" s="380">
        <v>383</v>
      </c>
      <c r="AR8" s="381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72" t="s">
        <v>294</v>
      </c>
      <c r="B10" s="382" t="s">
        <v>5</v>
      </c>
      <c r="C10" s="385" t="s">
        <v>295</v>
      </c>
      <c r="D10" s="385"/>
      <c r="E10" s="375" t="s">
        <v>296</v>
      </c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7"/>
      <c r="Y10" s="375" t="s">
        <v>15</v>
      </c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7"/>
    </row>
    <row r="11" spans="1:44" ht="12.75">
      <c r="A11" s="373"/>
      <c r="B11" s="383"/>
      <c r="C11" s="386"/>
      <c r="D11" s="386"/>
      <c r="E11" s="367" t="s">
        <v>297</v>
      </c>
      <c r="F11" s="378"/>
      <c r="G11" s="367" t="s">
        <v>298</v>
      </c>
      <c r="H11" s="379"/>
      <c r="I11" s="367" t="s">
        <v>78</v>
      </c>
      <c r="J11" s="368"/>
      <c r="K11" s="369" t="s">
        <v>299</v>
      </c>
      <c r="L11" s="370"/>
      <c r="M11" s="369" t="s">
        <v>80</v>
      </c>
      <c r="N11" s="370"/>
      <c r="O11" s="369" t="s">
        <v>300</v>
      </c>
      <c r="P11" s="370"/>
      <c r="Q11" s="369" t="s">
        <v>301</v>
      </c>
      <c r="R11" s="371"/>
      <c r="S11" s="369" t="s">
        <v>81</v>
      </c>
      <c r="T11" s="370"/>
      <c r="U11" s="369" t="s">
        <v>302</v>
      </c>
      <c r="V11" s="370"/>
      <c r="W11" s="369" t="s">
        <v>303</v>
      </c>
      <c r="X11" s="370"/>
      <c r="Y11" s="367" t="s">
        <v>297</v>
      </c>
      <c r="Z11" s="378"/>
      <c r="AA11" s="367" t="s">
        <v>298</v>
      </c>
      <c r="AB11" s="379"/>
      <c r="AC11" s="367" t="s">
        <v>78</v>
      </c>
      <c r="AD11" s="368"/>
      <c r="AE11" s="369" t="s">
        <v>299</v>
      </c>
      <c r="AF11" s="370"/>
      <c r="AG11" s="369" t="s">
        <v>80</v>
      </c>
      <c r="AH11" s="370"/>
      <c r="AI11" s="369" t="s">
        <v>300</v>
      </c>
      <c r="AJ11" s="370"/>
      <c r="AK11" s="369" t="s">
        <v>301</v>
      </c>
      <c r="AL11" s="371"/>
      <c r="AM11" s="369" t="s">
        <v>81</v>
      </c>
      <c r="AN11" s="370"/>
      <c r="AO11" s="369" t="s">
        <v>302</v>
      </c>
      <c r="AP11" s="370"/>
      <c r="AQ11" s="369" t="s">
        <v>303</v>
      </c>
      <c r="AR11" s="370"/>
    </row>
    <row r="12" spans="1:44" ht="113.25" customHeight="1">
      <c r="A12" s="374"/>
      <c r="B12" s="384"/>
      <c r="C12" s="117" t="s">
        <v>304</v>
      </c>
      <c r="D12" s="117" t="s">
        <v>305</v>
      </c>
      <c r="E12" s="118" t="s">
        <v>306</v>
      </c>
      <c r="F12" s="119" t="s">
        <v>307</v>
      </c>
      <c r="G12" s="118" t="s">
        <v>306</v>
      </c>
      <c r="H12" s="119" t="s">
        <v>307</v>
      </c>
      <c r="I12" s="118" t="s">
        <v>306</v>
      </c>
      <c r="J12" s="119" t="s">
        <v>307</v>
      </c>
      <c r="K12" s="118" t="s">
        <v>306</v>
      </c>
      <c r="L12" s="119" t="s">
        <v>307</v>
      </c>
      <c r="M12" s="118" t="s">
        <v>306</v>
      </c>
      <c r="N12" s="119" t="s">
        <v>307</v>
      </c>
      <c r="O12" s="118" t="s">
        <v>306</v>
      </c>
      <c r="P12" s="119" t="s">
        <v>307</v>
      </c>
      <c r="Q12" s="118" t="s">
        <v>306</v>
      </c>
      <c r="R12" s="116" t="s">
        <v>307</v>
      </c>
      <c r="S12" s="118" t="s">
        <v>306</v>
      </c>
      <c r="T12" s="119" t="s">
        <v>307</v>
      </c>
      <c r="U12" s="118" t="s">
        <v>306</v>
      </c>
      <c r="V12" s="119" t="s">
        <v>307</v>
      </c>
      <c r="W12" s="118" t="s">
        <v>306</v>
      </c>
      <c r="X12" s="119" t="s">
        <v>307</v>
      </c>
      <c r="Y12" s="118" t="s">
        <v>306</v>
      </c>
      <c r="Z12" s="119" t="s">
        <v>307</v>
      </c>
      <c r="AA12" s="118" t="s">
        <v>306</v>
      </c>
      <c r="AB12" s="119" t="s">
        <v>307</v>
      </c>
      <c r="AC12" s="118" t="s">
        <v>306</v>
      </c>
      <c r="AD12" s="119" t="s">
        <v>307</v>
      </c>
      <c r="AE12" s="118" t="s">
        <v>306</v>
      </c>
      <c r="AF12" s="119" t="s">
        <v>307</v>
      </c>
      <c r="AG12" s="118" t="s">
        <v>306</v>
      </c>
      <c r="AH12" s="119" t="s">
        <v>307</v>
      </c>
      <c r="AI12" s="118" t="s">
        <v>306</v>
      </c>
      <c r="AJ12" s="119" t="s">
        <v>307</v>
      </c>
      <c r="AK12" s="118" t="s">
        <v>306</v>
      </c>
      <c r="AL12" s="116" t="s">
        <v>307</v>
      </c>
      <c r="AM12" s="118" t="s">
        <v>306</v>
      </c>
      <c r="AN12" s="119" t="s">
        <v>307</v>
      </c>
      <c r="AO12" s="118" t="s">
        <v>306</v>
      </c>
      <c r="AP12" s="119" t="s">
        <v>307</v>
      </c>
      <c r="AQ12" s="118" t="s">
        <v>306</v>
      </c>
      <c r="AR12" s="119" t="s">
        <v>307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90" t="s">
        <v>308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1"/>
    </row>
    <row r="15" spans="1:44" ht="51">
      <c r="A15" s="122" t="s">
        <v>316</v>
      </c>
      <c r="B15" s="123" t="s">
        <v>317</v>
      </c>
      <c r="C15" s="123" t="s">
        <v>309</v>
      </c>
      <c r="D15" s="124" t="s">
        <v>310</v>
      </c>
      <c r="E15" s="125">
        <f>W15-G15</f>
        <v>1835686.72</v>
      </c>
      <c r="F15" s="126">
        <f>X15</f>
        <v>95096.72</v>
      </c>
      <c r="G15" s="126"/>
      <c r="H15" s="127"/>
      <c r="I15" s="127" t="s">
        <v>311</v>
      </c>
      <c r="J15" s="127" t="s">
        <v>311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(1.12)'!D69-'2. Расходы бюджета (1.12)'!D34-'2. Расходы бюджета (1.12)'!D38</f>
        <v>1835686.72</v>
      </c>
      <c r="X15" s="126">
        <f>'2. Расходы бюджета (1.12)'!E81</f>
        <v>95096.72</v>
      </c>
      <c r="Y15" s="126">
        <f>AQ15-AA15</f>
        <v>973959.5900000001</v>
      </c>
      <c r="Z15" s="126">
        <f>AR15</f>
        <v>47920.06</v>
      </c>
      <c r="AA15" s="126"/>
      <c r="AB15" s="126"/>
      <c r="AC15" s="126" t="s">
        <v>311</v>
      </c>
      <c r="AD15" s="126" t="s">
        <v>311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(1.12)'!F77-'2. Расходы бюджета (1.12)'!F34-'2. Расходы бюджета (1.12)'!F38</f>
        <v>973959.5900000001</v>
      </c>
      <c r="AR15" s="126">
        <f>'2. Расходы бюджета (1.12)'!F69</f>
        <v>47920.06</v>
      </c>
    </row>
    <row r="16" spans="1:44" ht="18">
      <c r="A16" s="128" t="s">
        <v>312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318</v>
      </c>
      <c r="B17" s="136" t="s">
        <v>319</v>
      </c>
      <c r="C17" s="136" t="s">
        <v>309</v>
      </c>
      <c r="D17" s="136" t="s">
        <v>314</v>
      </c>
      <c r="E17" s="137">
        <f aca="true" t="shared" si="0" ref="E17:F19">W17</f>
        <v>946577</v>
      </c>
      <c r="F17" s="138">
        <f t="shared" si="0"/>
        <v>71100</v>
      </c>
      <c r="G17" s="138"/>
      <c r="H17" s="138"/>
      <c r="I17" s="138" t="s">
        <v>311</v>
      </c>
      <c r="J17" s="138" t="s">
        <v>311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(1.12)'!E70+'2. Расходы бюджета (1.12)'!D14+'2. Расходы бюджета (1.12)'!D71+'2. Расходы бюджета (1.12)'!D10</f>
        <v>946577</v>
      </c>
      <c r="X17" s="138">
        <f>'2. Расходы бюджета (1.12)'!D70+'2. Расходы бюджета (1.12)'!D71</f>
        <v>71100</v>
      </c>
      <c r="Y17" s="138">
        <f aca="true" t="shared" si="1" ref="Y17:Z19">AQ17</f>
        <v>474751.54</v>
      </c>
      <c r="Z17" s="138">
        <f t="shared" si="1"/>
        <v>39277.68</v>
      </c>
      <c r="AA17" s="138"/>
      <c r="AB17" s="138"/>
      <c r="AC17" s="138" t="s">
        <v>311</v>
      </c>
      <c r="AD17" s="138" t="s">
        <v>311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(1.12)'!F70+'2. Расходы бюджета (1.12)'!F71+'2. Расходы бюджета (1.12)'!F10</f>
        <v>474751.54</v>
      </c>
      <c r="AR17" s="138">
        <f>'2. Расходы бюджета (1.12)'!F70+'2. Расходы бюджета (1.12)'!F71</f>
        <v>39277.68</v>
      </c>
    </row>
    <row r="18" spans="1:44" ht="114.75">
      <c r="A18" s="139" t="s">
        <v>320</v>
      </c>
      <c r="B18" s="140" t="s">
        <v>321</v>
      </c>
      <c r="C18" s="140" t="s">
        <v>309</v>
      </c>
      <c r="D18" s="140" t="s">
        <v>315</v>
      </c>
      <c r="E18" s="137">
        <f t="shared" si="0"/>
        <v>286145</v>
      </c>
      <c r="F18" s="138">
        <f t="shared" si="0"/>
        <v>21750</v>
      </c>
      <c r="G18" s="138"/>
      <c r="H18" s="138"/>
      <c r="I18" s="138" t="s">
        <v>311</v>
      </c>
      <c r="J18" s="138" t="s">
        <v>311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(1.12)'!E73</f>
        <v>286145</v>
      </c>
      <c r="X18" s="138">
        <f>'2. Расходы бюджета (1.12)'!D73</f>
        <v>21750</v>
      </c>
      <c r="Y18" s="138">
        <f t="shared" si="1"/>
        <v>128592.34000000003</v>
      </c>
      <c r="Z18" s="138">
        <f t="shared" si="1"/>
        <v>8642.379999999997</v>
      </c>
      <c r="AA18" s="138"/>
      <c r="AB18" s="138"/>
      <c r="AC18" s="138" t="s">
        <v>311</v>
      </c>
      <c r="AD18" s="138" t="s">
        <v>311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(1.12)'!F73</f>
        <v>128592.34000000003</v>
      </c>
      <c r="AR18" s="138">
        <f>'2. Расходы бюджета (1.12)'!F73</f>
        <v>8642.379999999997</v>
      </c>
    </row>
    <row r="19" spans="1:44" ht="127.5">
      <c r="A19" s="141" t="s">
        <v>322</v>
      </c>
      <c r="B19" s="142" t="s">
        <v>323</v>
      </c>
      <c r="C19" s="142" t="s">
        <v>309</v>
      </c>
      <c r="D19" s="142" t="s">
        <v>310</v>
      </c>
      <c r="E19" s="143">
        <f t="shared" si="0"/>
        <v>95096.72</v>
      </c>
      <c r="F19" s="144">
        <f t="shared" si="0"/>
        <v>95096.72</v>
      </c>
      <c r="G19" s="144"/>
      <c r="H19" s="144"/>
      <c r="I19" s="144" t="s">
        <v>311</v>
      </c>
      <c r="J19" s="144" t="s">
        <v>311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95096.72</v>
      </c>
      <c r="X19" s="144">
        <f>X15</f>
        <v>95096.72</v>
      </c>
      <c r="Y19" s="144">
        <f t="shared" si="1"/>
        <v>47920.06</v>
      </c>
      <c r="Z19" s="144">
        <f t="shared" si="1"/>
        <v>47920.06</v>
      </c>
      <c r="AA19" s="144"/>
      <c r="AB19" s="144"/>
      <c r="AC19" s="144" t="s">
        <v>311</v>
      </c>
      <c r="AD19" s="144" t="s">
        <v>311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47920.06</v>
      </c>
      <c r="AR19" s="144">
        <f>AQ19</f>
        <v>47920.06</v>
      </c>
    </row>
    <row r="20" spans="1:44" ht="18">
      <c r="A20" s="128" t="s">
        <v>312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324</v>
      </c>
      <c r="B21" s="147" t="s">
        <v>325</v>
      </c>
      <c r="C21" s="136" t="s">
        <v>309</v>
      </c>
      <c r="D21" s="136" t="s">
        <v>314</v>
      </c>
      <c r="E21" s="137">
        <f aca="true" t="shared" si="2" ref="E21:F23">W21</f>
        <v>71100</v>
      </c>
      <c r="F21" s="138">
        <f>X21</f>
        <v>71100</v>
      </c>
      <c r="G21" s="138"/>
      <c r="H21" s="138"/>
      <c r="I21" s="138" t="s">
        <v>311</v>
      </c>
      <c r="J21" s="138" t="s">
        <v>311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71100</v>
      </c>
      <c r="X21" s="138">
        <f>'2. Расходы бюджета (1.12)'!E70+'2. Расходы бюджета (1.12)'!E71</f>
        <v>71100</v>
      </c>
      <c r="Y21" s="138">
        <f aca="true" t="shared" si="3" ref="Y21:Z26">AQ21</f>
        <v>39277.68</v>
      </c>
      <c r="Z21" s="138">
        <f t="shared" si="3"/>
        <v>39277.68</v>
      </c>
      <c r="AA21" s="138"/>
      <c r="AB21" s="138"/>
      <c r="AC21" s="138" t="s">
        <v>311</v>
      </c>
      <c r="AD21" s="138" t="s">
        <v>311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39277.68</v>
      </c>
      <c r="AR21" s="138">
        <f>AR17</f>
        <v>39277.68</v>
      </c>
    </row>
    <row r="22" spans="1:44" ht="114.75">
      <c r="A22" s="148" t="s">
        <v>326</v>
      </c>
      <c r="B22" s="149" t="s">
        <v>327</v>
      </c>
      <c r="C22" s="149" t="s">
        <v>309</v>
      </c>
      <c r="D22" s="149" t="s">
        <v>315</v>
      </c>
      <c r="E22" s="137">
        <f t="shared" si="2"/>
        <v>21750</v>
      </c>
      <c r="F22" s="137">
        <f t="shared" si="2"/>
        <v>21750</v>
      </c>
      <c r="G22" s="137"/>
      <c r="H22" s="137"/>
      <c r="I22" s="137" t="s">
        <v>311</v>
      </c>
      <c r="J22" s="137" t="s">
        <v>311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21750</v>
      </c>
      <c r="X22" s="138">
        <f>'2. Расходы бюджета (1.12)'!E73</f>
        <v>21750</v>
      </c>
      <c r="Y22" s="138">
        <f t="shared" si="3"/>
        <v>8642.379999999997</v>
      </c>
      <c r="Z22" s="138">
        <f t="shared" si="3"/>
        <v>8642.379999999997</v>
      </c>
      <c r="AA22" s="138"/>
      <c r="AB22" s="138"/>
      <c r="AC22" s="138" t="s">
        <v>311</v>
      </c>
      <c r="AD22" s="138" t="s">
        <v>311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8642.379999999997</v>
      </c>
      <c r="AR22" s="138">
        <f>AR18</f>
        <v>8642.379999999997</v>
      </c>
    </row>
    <row r="23" spans="1:44" ht="76.5">
      <c r="A23" s="141" t="s">
        <v>329</v>
      </c>
      <c r="B23" s="142" t="s">
        <v>330</v>
      </c>
      <c r="C23" s="142" t="s">
        <v>331</v>
      </c>
      <c r="D23" s="142" t="s">
        <v>310</v>
      </c>
      <c r="E23" s="143">
        <f t="shared" si="2"/>
        <v>95096.72</v>
      </c>
      <c r="F23" s="143">
        <f t="shared" si="2"/>
        <v>95096.72</v>
      </c>
      <c r="G23" s="118" t="s">
        <v>311</v>
      </c>
      <c r="H23" s="118" t="s">
        <v>311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95096.72</v>
      </c>
      <c r="X23" s="144">
        <f>X19</f>
        <v>95096.72</v>
      </c>
      <c r="Y23" s="144">
        <f t="shared" si="3"/>
        <v>47920.06</v>
      </c>
      <c r="Z23" s="144">
        <f t="shared" si="3"/>
        <v>47920.06</v>
      </c>
      <c r="AA23" s="144" t="s">
        <v>311</v>
      </c>
      <c r="AB23" s="144" t="s">
        <v>311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47920.06</v>
      </c>
      <c r="AR23" s="144">
        <f>AQ23</f>
        <v>47920.06</v>
      </c>
    </row>
    <row r="24" spans="1:44" ht="51">
      <c r="A24" s="148" t="s">
        <v>313</v>
      </c>
      <c r="B24" s="149" t="s">
        <v>332</v>
      </c>
      <c r="C24" s="149" t="s">
        <v>331</v>
      </c>
      <c r="D24" s="149" t="s">
        <v>314</v>
      </c>
      <c r="E24" s="137">
        <f>F24</f>
        <v>71100</v>
      </c>
      <c r="F24" s="137">
        <f>X24</f>
        <v>71100</v>
      </c>
      <c r="G24" s="137" t="s">
        <v>311</v>
      </c>
      <c r="H24" s="137" t="s">
        <v>311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71100</v>
      </c>
      <c r="X24" s="138">
        <f>X21</f>
        <v>71100</v>
      </c>
      <c r="Y24" s="138">
        <f t="shared" si="3"/>
        <v>39277.68</v>
      </c>
      <c r="Z24" s="138">
        <f t="shared" si="3"/>
        <v>39277.68</v>
      </c>
      <c r="AA24" s="138" t="s">
        <v>311</v>
      </c>
      <c r="AB24" s="138" t="s">
        <v>311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39277.68</v>
      </c>
      <c r="AR24" s="138">
        <f>AR21</f>
        <v>39277.68</v>
      </c>
    </row>
    <row r="25" spans="1:44" ht="140.25">
      <c r="A25" s="148" t="s">
        <v>333</v>
      </c>
      <c r="B25" s="149" t="s">
        <v>334</v>
      </c>
      <c r="C25" s="149" t="s">
        <v>331</v>
      </c>
      <c r="D25" s="149" t="s">
        <v>315</v>
      </c>
      <c r="E25" s="137">
        <f>W25</f>
        <v>21750</v>
      </c>
      <c r="F25" s="137">
        <f>X25</f>
        <v>21750</v>
      </c>
      <c r="G25" s="137" t="s">
        <v>311</v>
      </c>
      <c r="H25" s="137" t="s">
        <v>311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21750</v>
      </c>
      <c r="X25" s="138">
        <f>X22</f>
        <v>21750</v>
      </c>
      <c r="Y25" s="138">
        <f t="shared" si="3"/>
        <v>8642.379999999997</v>
      </c>
      <c r="Z25" s="138">
        <f t="shared" si="3"/>
        <v>8642.379999999997</v>
      </c>
      <c r="AA25" s="138" t="s">
        <v>311</v>
      </c>
      <c r="AB25" s="138" t="s">
        <v>311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8642.379999999997</v>
      </c>
      <c r="AR25" s="138">
        <f>AR22</f>
        <v>8642.379999999997</v>
      </c>
    </row>
    <row r="26" spans="1:44" ht="76.5">
      <c r="A26" s="154" t="s">
        <v>335</v>
      </c>
      <c r="B26" s="151" t="s">
        <v>336</v>
      </c>
      <c r="C26" s="123" t="s">
        <v>309</v>
      </c>
      <c r="D26" s="124" t="s">
        <v>310</v>
      </c>
      <c r="E26" s="143">
        <f>W26</f>
        <v>95096.72</v>
      </c>
      <c r="F26" s="138">
        <f>X26</f>
        <v>95096.72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95096.72</v>
      </c>
      <c r="X26" s="144">
        <f>X23</f>
        <v>95096.72</v>
      </c>
      <c r="Y26" s="144">
        <f t="shared" si="3"/>
        <v>47920.06</v>
      </c>
      <c r="Z26" s="144">
        <f t="shared" si="3"/>
        <v>47920.06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(1.12)'!F81+'2. Расходы бюджета (1.12)'!F155</f>
        <v>47920.06</v>
      </c>
      <c r="AR26" s="144">
        <f>AR23</f>
        <v>47920.06</v>
      </c>
    </row>
    <row r="27" spans="1:44" ht="25.5">
      <c r="A27" s="291" t="s">
        <v>339</v>
      </c>
      <c r="B27" s="292" t="s">
        <v>340</v>
      </c>
      <c r="C27" s="293" t="s">
        <v>309</v>
      </c>
      <c r="D27" s="294" t="s">
        <v>310</v>
      </c>
      <c r="E27" s="295">
        <f>E28+E29</f>
        <v>2166651.58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2166651.58</v>
      </c>
      <c r="X27" s="296"/>
      <c r="Y27" s="296">
        <f>Y28+Y29</f>
        <v>975707.1600000001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975707.1600000001</v>
      </c>
      <c r="AR27" s="296"/>
    </row>
    <row r="28" spans="1:49" ht="76.5">
      <c r="A28" s="150" t="s">
        <v>337</v>
      </c>
      <c r="B28" s="149" t="s">
        <v>341</v>
      </c>
      <c r="C28" s="116" t="s">
        <v>309</v>
      </c>
      <c r="D28" s="147" t="s">
        <v>310</v>
      </c>
      <c r="E28" s="137">
        <f>W28</f>
        <v>1591600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v>1591600</v>
      </c>
      <c r="X28" s="138"/>
      <c r="Y28" s="138">
        <f>AQ28</f>
        <v>548031.0800000001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f>211896.08+178195.2+21200+136739.8</f>
        <v>548031.0800000001</v>
      </c>
      <c r="AR28" s="138"/>
      <c r="AW28" s="233"/>
    </row>
    <row r="29" spans="1:44" ht="63.75">
      <c r="A29" s="150" t="s">
        <v>338</v>
      </c>
      <c r="B29" s="149" t="s">
        <v>342</v>
      </c>
      <c r="C29" s="116" t="s">
        <v>309</v>
      </c>
      <c r="D29" s="147" t="s">
        <v>310</v>
      </c>
      <c r="E29" s="137">
        <f>W29</f>
        <v>575051.58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v>575051.58</v>
      </c>
      <c r="X29" s="138"/>
      <c r="Y29" s="138">
        <f>AQ29</f>
        <v>427676.08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f>311906+14540.64+14829.44+86400</f>
        <v>427676.08</v>
      </c>
      <c r="AR29" s="137"/>
    </row>
    <row r="30" spans="1:44" ht="25.5">
      <c r="A30" s="122" t="s">
        <v>343</v>
      </c>
      <c r="B30" s="152" t="s">
        <v>344</v>
      </c>
      <c r="C30" s="153" t="s">
        <v>345</v>
      </c>
      <c r="D30" s="157" t="s">
        <v>310</v>
      </c>
      <c r="E30" s="158">
        <f>'2. Расходы бюджета (1.12)'!D124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(1.12)'!F125</f>
        <v>0</v>
      </c>
      <c r="AR30" s="159"/>
    </row>
    <row r="31" spans="1:44" ht="15">
      <c r="A31" s="155" t="s">
        <v>328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346</v>
      </c>
      <c r="B32" s="123" t="s">
        <v>347</v>
      </c>
      <c r="C32" s="153" t="s">
        <v>309</v>
      </c>
      <c r="D32" s="157" t="s">
        <v>310</v>
      </c>
      <c r="E32" s="159">
        <f>W32</f>
        <v>109414.32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(1.12)'!D169</f>
        <v>109414.32</v>
      </c>
      <c r="X32" s="159"/>
      <c r="Y32" s="159">
        <f>AQ32</f>
        <v>54707.16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(1.12)'!F158</f>
        <v>54707.16</v>
      </c>
      <c r="AR32" s="159"/>
    </row>
    <row r="33" spans="1:44" ht="102">
      <c r="A33" s="122" t="s">
        <v>348</v>
      </c>
      <c r="B33" s="151" t="s">
        <v>349</v>
      </c>
      <c r="C33" s="157" t="s">
        <v>309</v>
      </c>
      <c r="D33" s="157" t="s">
        <v>310</v>
      </c>
      <c r="E33" s="159">
        <f>W33</f>
        <v>0</v>
      </c>
      <c r="F33" s="138" t="str">
        <f t="shared" si="4"/>
        <v>х</v>
      </c>
      <c r="G33" s="158" t="s">
        <v>311</v>
      </c>
      <c r="H33" s="158" t="s">
        <v>311</v>
      </c>
      <c r="I33" s="159"/>
      <c r="J33" s="159" t="s">
        <v>311</v>
      </c>
      <c r="K33" s="159"/>
      <c r="L33" s="159" t="s">
        <v>311</v>
      </c>
      <c r="M33" s="159"/>
      <c r="N33" s="159" t="s">
        <v>311</v>
      </c>
      <c r="O33" s="159"/>
      <c r="P33" s="159" t="s">
        <v>311</v>
      </c>
      <c r="Q33" s="159"/>
      <c r="R33" s="159" t="s">
        <v>311</v>
      </c>
      <c r="S33" s="159"/>
      <c r="T33" s="159" t="s">
        <v>311</v>
      </c>
      <c r="U33" s="159"/>
      <c r="V33" s="159" t="s">
        <v>311</v>
      </c>
      <c r="W33" s="159">
        <v>0</v>
      </c>
      <c r="X33" s="158" t="s">
        <v>311</v>
      </c>
      <c r="Y33" s="159" t="str">
        <f>AQ33</f>
        <v>х</v>
      </c>
      <c r="Z33" s="158" t="s">
        <v>311</v>
      </c>
      <c r="AA33" s="158" t="s">
        <v>311</v>
      </c>
      <c r="AB33" s="158" t="s">
        <v>311</v>
      </c>
      <c r="AC33" s="158" t="s">
        <v>311</v>
      </c>
      <c r="AD33" s="158" t="s">
        <v>311</v>
      </c>
      <c r="AE33" s="158" t="s">
        <v>311</v>
      </c>
      <c r="AF33" s="158" t="s">
        <v>311</v>
      </c>
      <c r="AG33" s="158" t="s">
        <v>311</v>
      </c>
      <c r="AH33" s="158" t="s">
        <v>311</v>
      </c>
      <c r="AI33" s="158" t="s">
        <v>311</v>
      </c>
      <c r="AJ33" s="158" t="s">
        <v>311</v>
      </c>
      <c r="AK33" s="158" t="s">
        <v>311</v>
      </c>
      <c r="AL33" s="158" t="s">
        <v>311</v>
      </c>
      <c r="AM33" s="158" t="s">
        <v>311</v>
      </c>
      <c r="AN33" s="158" t="s">
        <v>311</v>
      </c>
      <c r="AO33" s="158" t="s">
        <v>311</v>
      </c>
      <c r="AP33" s="158" t="s">
        <v>311</v>
      </c>
      <c r="AQ33" s="158" t="s">
        <v>311</v>
      </c>
      <c r="AR33" s="158" t="s">
        <v>311</v>
      </c>
    </row>
    <row r="34" spans="1:44" ht="69.75" customHeight="1">
      <c r="A34" s="207" t="s">
        <v>455</v>
      </c>
      <c r="B34" s="151" t="s">
        <v>456</v>
      </c>
      <c r="C34" s="157" t="s">
        <v>309</v>
      </c>
      <c r="D34" s="157" t="s">
        <v>310</v>
      </c>
      <c r="E34" s="159">
        <f>W34</f>
        <v>5600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5600</v>
      </c>
      <c r="X34" s="158"/>
      <c r="Y34" s="159">
        <f>AQ34</f>
        <v>2754.98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2754.98</v>
      </c>
      <c r="AR34" s="158"/>
    </row>
    <row r="35" spans="1:44" ht="38.25">
      <c r="A35" s="122" t="s">
        <v>350</v>
      </c>
      <c r="B35" s="152" t="s">
        <v>351</v>
      </c>
      <c r="C35" s="153" t="s">
        <v>309</v>
      </c>
      <c r="D35" s="157" t="s">
        <v>310</v>
      </c>
      <c r="E35" s="159">
        <f>'2. Расходы бюджета (1.12)'!D7-справочная!G35</f>
        <v>4455734.24</v>
      </c>
      <c r="F35" s="138">
        <f>'2. Расходы бюджета (1.12)'!D77</f>
        <v>95096.72</v>
      </c>
      <c r="G35" s="159">
        <f>'2. Расходы бюджета (1.12)'!D40+'2. Расходы бюджета (1.12)'!D42+'2. Расходы бюджета (1.12)'!D63+'2. Расходы бюджета (1.12)'!D176</f>
        <v>4800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4460534.24</v>
      </c>
      <c r="X35" s="159">
        <f>F35</f>
        <v>95096.72</v>
      </c>
      <c r="Y35" s="159">
        <f>'2. Расходы бюджета (1.12)'!F7</f>
        <v>2151263.3899999997</v>
      </c>
      <c r="Z35" s="159">
        <f>AR35</f>
        <v>47920.06</v>
      </c>
      <c r="AA35" s="159">
        <v>0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2151263.3899999997</v>
      </c>
      <c r="AR35" s="159">
        <f>AR26</f>
        <v>47920.06</v>
      </c>
    </row>
    <row r="36" spans="1:44" ht="102">
      <c r="A36" s="163" t="s">
        <v>352</v>
      </c>
      <c r="B36" s="140" t="s">
        <v>353</v>
      </c>
      <c r="C36" s="119" t="s">
        <v>309</v>
      </c>
      <c r="D36" s="116" t="s">
        <v>310</v>
      </c>
      <c r="E36" s="159">
        <f>W36</f>
        <v>95096.72</v>
      </c>
      <c r="F36" s="138">
        <f>F35</f>
        <v>95096.72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95096.72</v>
      </c>
      <c r="X36" s="165">
        <f>X35</f>
        <v>95096.72</v>
      </c>
      <c r="Y36" s="159">
        <f>AQ36</f>
        <v>47920.06</v>
      </c>
      <c r="Z36" s="165">
        <f>AR36</f>
        <v>47920.06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47920.06</v>
      </c>
      <c r="AR36" s="158">
        <f>AR26</f>
        <v>47920.06</v>
      </c>
    </row>
    <row r="37" spans="1:44" ht="38.25">
      <c r="A37" s="122" t="s">
        <v>354</v>
      </c>
      <c r="B37" s="152" t="s">
        <v>355</v>
      </c>
      <c r="C37" s="153" t="s">
        <v>309</v>
      </c>
      <c r="D37" s="157" t="s">
        <v>310</v>
      </c>
      <c r="E37" s="159" t="str">
        <f aca="true" t="shared" si="5" ref="E37:E42">W37</f>
        <v>х</v>
      </c>
      <c r="F37" s="164" t="s">
        <v>311</v>
      </c>
      <c r="G37" s="164" t="s">
        <v>311</v>
      </c>
      <c r="H37" s="164" t="s">
        <v>311</v>
      </c>
      <c r="I37" s="164" t="s">
        <v>311</v>
      </c>
      <c r="J37" s="164" t="s">
        <v>311</v>
      </c>
      <c r="K37" s="164" t="s">
        <v>311</v>
      </c>
      <c r="L37" s="164" t="s">
        <v>311</v>
      </c>
      <c r="M37" s="164" t="s">
        <v>311</v>
      </c>
      <c r="N37" s="164" t="s">
        <v>311</v>
      </c>
      <c r="O37" s="164" t="s">
        <v>311</v>
      </c>
      <c r="P37" s="164" t="s">
        <v>311</v>
      </c>
      <c r="Q37" s="164" t="s">
        <v>311</v>
      </c>
      <c r="R37" s="164" t="s">
        <v>311</v>
      </c>
      <c r="S37" s="164" t="s">
        <v>311</v>
      </c>
      <c r="T37" s="164" t="s">
        <v>311</v>
      </c>
      <c r="U37" s="164" t="s">
        <v>311</v>
      </c>
      <c r="V37" s="164" t="s">
        <v>311</v>
      </c>
      <c r="W37" s="164" t="s">
        <v>311</v>
      </c>
      <c r="X37" s="164" t="s">
        <v>311</v>
      </c>
      <c r="Y37" s="159">
        <f>AQ37</f>
        <v>927571.8100000003</v>
      </c>
      <c r="Z37" s="159">
        <f>Z39</f>
        <v>27541.76000000001</v>
      </c>
      <c r="AA37" s="158" t="s">
        <v>311</v>
      </c>
      <c r="AB37" s="158" t="s">
        <v>311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1219511.21+'2. Расходы бюджета (1.12)'!F179</f>
        <v>927571.8100000003</v>
      </c>
      <c r="AR37" s="159">
        <f>Z37</f>
        <v>27541.76000000001</v>
      </c>
    </row>
    <row r="38" spans="1:44" ht="15">
      <c r="A38" s="189" t="s">
        <v>328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356</v>
      </c>
      <c r="B39" s="149" t="s">
        <v>357</v>
      </c>
      <c r="C39" s="116" t="s">
        <v>309</v>
      </c>
      <c r="D39" s="116" t="s">
        <v>310</v>
      </c>
      <c r="E39" s="159" t="str">
        <f t="shared" si="5"/>
        <v>х</v>
      </c>
      <c r="F39" s="166" t="s">
        <v>311</v>
      </c>
      <c r="G39" s="166" t="s">
        <v>311</v>
      </c>
      <c r="H39" s="166" t="s">
        <v>311</v>
      </c>
      <c r="I39" s="166" t="s">
        <v>311</v>
      </c>
      <c r="J39" s="166" t="s">
        <v>311</v>
      </c>
      <c r="K39" s="166" t="s">
        <v>311</v>
      </c>
      <c r="L39" s="166" t="s">
        <v>311</v>
      </c>
      <c r="M39" s="166" t="s">
        <v>311</v>
      </c>
      <c r="N39" s="166" t="s">
        <v>311</v>
      </c>
      <c r="O39" s="166" t="s">
        <v>311</v>
      </c>
      <c r="P39" s="166" t="s">
        <v>311</v>
      </c>
      <c r="Q39" s="166" t="s">
        <v>311</v>
      </c>
      <c r="R39" s="166" t="s">
        <v>311</v>
      </c>
      <c r="S39" s="166" t="s">
        <v>311</v>
      </c>
      <c r="T39" s="166" t="s">
        <v>311</v>
      </c>
      <c r="U39" s="166" t="s">
        <v>311</v>
      </c>
      <c r="V39" s="166" t="s">
        <v>311</v>
      </c>
      <c r="W39" s="166" t="s">
        <v>311</v>
      </c>
      <c r="X39" s="166" t="s">
        <v>311</v>
      </c>
      <c r="Y39" s="165">
        <f>AQ39</f>
        <v>27541.76000000001</v>
      </c>
      <c r="Z39" s="165">
        <f>AR39</f>
        <v>27541.76000000001</v>
      </c>
      <c r="AA39" s="165" t="s">
        <v>311</v>
      </c>
      <c r="AB39" s="165" t="s">
        <v>311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(1.12)'!F81</f>
        <v>27541.76000000001</v>
      </c>
      <c r="AR39" s="165">
        <f>AQ39</f>
        <v>27541.76000000001</v>
      </c>
    </row>
    <row r="40" spans="1:44" ht="27.75" customHeight="1">
      <c r="A40" s="280" t="s">
        <v>372</v>
      </c>
      <c r="B40" s="281" t="s">
        <v>373</v>
      </c>
      <c r="C40" s="282" t="s">
        <v>310</v>
      </c>
      <c r="D40" s="282" t="s">
        <v>310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0</v>
      </c>
      <c r="AR40" s="289"/>
    </row>
    <row r="41" spans="1:44" ht="118.5" customHeight="1">
      <c r="A41" s="203" t="s">
        <v>451</v>
      </c>
      <c r="B41" s="190" t="s">
        <v>416</v>
      </c>
      <c r="C41" s="191" t="s">
        <v>310</v>
      </c>
      <c r="D41" s="191" t="s">
        <v>310</v>
      </c>
      <c r="E41" s="283">
        <f t="shared" si="5"/>
        <v>0</v>
      </c>
      <c r="F41" s="166">
        <v>0</v>
      </c>
      <c r="G41" s="166">
        <v>0</v>
      </c>
      <c r="H41" s="192" t="s">
        <v>417</v>
      </c>
      <c r="I41" s="185" t="s">
        <v>418</v>
      </c>
      <c r="J41" s="185" t="s">
        <v>419</v>
      </c>
      <c r="K41" s="185" t="s">
        <v>420</v>
      </c>
      <c r="L41" s="185" t="s">
        <v>421</v>
      </c>
      <c r="M41" s="185" t="s">
        <v>422</v>
      </c>
      <c r="N41" s="185" t="s">
        <v>423</v>
      </c>
      <c r="O41" s="185" t="s">
        <v>424</v>
      </c>
      <c r="P41" s="185" t="s">
        <v>425</v>
      </c>
      <c r="Q41" s="185" t="s">
        <v>426</v>
      </c>
      <c r="R41" s="185" t="s">
        <v>427</v>
      </c>
      <c r="S41" s="185" t="s">
        <v>428</v>
      </c>
      <c r="T41" s="185" t="s">
        <v>429</v>
      </c>
      <c r="U41" s="185" t="s">
        <v>430</v>
      </c>
      <c r="V41" s="185"/>
      <c r="W41" s="287"/>
      <c r="X41" s="193">
        <v>0</v>
      </c>
      <c r="Y41" s="165">
        <f>AQ41</f>
        <v>0</v>
      </c>
      <c r="Z41" s="165">
        <v>0</v>
      </c>
      <c r="AA41" s="194">
        <v>0</v>
      </c>
      <c r="AB41" s="158">
        <v>0</v>
      </c>
      <c r="AC41" s="194" t="s">
        <v>417</v>
      </c>
      <c r="AD41" s="195" t="s">
        <v>418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(1.12)'!F133</f>
        <v>0</v>
      </c>
      <c r="AR41" s="165"/>
    </row>
    <row r="42" spans="1:44" ht="72" customHeight="1">
      <c r="A42" s="203" t="s">
        <v>450</v>
      </c>
      <c r="B42" s="190" t="s">
        <v>444</v>
      </c>
      <c r="C42" s="191" t="s">
        <v>310</v>
      </c>
      <c r="D42" s="191" t="s">
        <v>310</v>
      </c>
      <c r="E42" s="159">
        <f t="shared" si="5"/>
        <v>0</v>
      </c>
      <c r="F42" s="166">
        <v>0</v>
      </c>
      <c r="G42" s="185">
        <v>0</v>
      </c>
      <c r="H42" s="192" t="s">
        <v>417</v>
      </c>
      <c r="I42" s="185" t="s">
        <v>418</v>
      </c>
      <c r="J42" s="185" t="s">
        <v>419</v>
      </c>
      <c r="K42" s="185" t="s">
        <v>420</v>
      </c>
      <c r="L42" s="185" t="s">
        <v>421</v>
      </c>
      <c r="M42" s="185" t="s">
        <v>422</v>
      </c>
      <c r="N42" s="185" t="s">
        <v>423</v>
      </c>
      <c r="O42" s="185" t="s">
        <v>424</v>
      </c>
      <c r="P42" s="185" t="s">
        <v>425</v>
      </c>
      <c r="Q42" s="185" t="s">
        <v>426</v>
      </c>
      <c r="R42" s="185" t="s">
        <v>427</v>
      </c>
      <c r="S42" s="185" t="s">
        <v>428</v>
      </c>
      <c r="T42" s="185" t="s">
        <v>429</v>
      </c>
      <c r="U42" s="185" t="s">
        <v>430</v>
      </c>
      <c r="V42" s="185" t="s">
        <v>431</v>
      </c>
      <c r="W42" s="165">
        <f>'2. Расходы бюджета (1.12)'!D139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417</v>
      </c>
      <c r="AD42" s="195" t="s">
        <v>418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(1.12)'!F139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437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87" t="s">
        <v>459</v>
      </c>
      <c r="P44" s="387"/>
      <c r="Q44" s="387"/>
      <c r="R44" s="387"/>
      <c r="S44" s="387"/>
      <c r="T44" s="387"/>
      <c r="U44" s="387"/>
      <c r="V44" s="387"/>
      <c r="W44" s="387"/>
      <c r="X44" s="387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59" t="s">
        <v>358</v>
      </c>
      <c r="G45" s="359"/>
      <c r="H45" s="359"/>
      <c r="I45" s="388"/>
      <c r="J45" s="388"/>
      <c r="K45" s="172"/>
      <c r="L45" s="176"/>
      <c r="M45" s="172"/>
      <c r="N45" s="389" t="s">
        <v>359</v>
      </c>
      <c r="O45" s="389"/>
      <c r="P45" s="389"/>
      <c r="Q45" s="389"/>
      <c r="R45" s="389"/>
      <c r="S45" s="389"/>
      <c r="T45" s="389"/>
      <c r="U45" s="389"/>
      <c r="V45" s="389"/>
      <c r="W45" s="389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01.08.2022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  <mergeCell ref="Q11:R11"/>
    <mergeCell ref="S11:T11"/>
    <mergeCell ref="AQ8:AR8"/>
    <mergeCell ref="Y11:Z11"/>
    <mergeCell ref="AA11:AB11"/>
    <mergeCell ref="W8:X8"/>
    <mergeCell ref="Z8:AB8"/>
    <mergeCell ref="AQ11:AR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AQ6:AR6"/>
    <mergeCell ref="AA6:AB6"/>
    <mergeCell ref="AC11:AD11"/>
    <mergeCell ref="AE11:AF11"/>
    <mergeCell ref="AK11:AL11"/>
    <mergeCell ref="AM11:AN11"/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2022-07-01T08:42:23Z</cp:lastPrinted>
  <dcterms:created xsi:type="dcterms:W3CDTF">2002-10-08T15:02:13Z</dcterms:created>
  <dcterms:modified xsi:type="dcterms:W3CDTF">2022-08-02T09:07:03Z</dcterms:modified>
  <cp:category/>
  <cp:version/>
  <cp:contentType/>
  <cp:contentStatus/>
</cp:coreProperties>
</file>