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4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<sst xmlns="http://schemas.openxmlformats.org/spreadsheetml/2006/main" count="1003" uniqueCount="550">
  <si>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</si>
  <si>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</si>
  <si>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</si>
  <si>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</si>
  <si>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</si>
  <si>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</si>
  <si>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</si>
  <si>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</si>
  <si>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</si>
  <si>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</si>
  <si>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</si>
  <si>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</si>
  <si>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</si>
  <si>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</si>
  <si>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</si>
  <si>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</si>
  <si>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</si>
  <si>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</si>
  <si>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</si>
  <si>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</si>
  <si>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</si>
  <si>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</si>
  <si>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</si>
  <si>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</si>
  <si>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</si>
  <si>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</si>
  <si>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</si>
  <si>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</si>
  <si>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</si>
  <si>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</si>
  <si>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</si>
  <si>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</si>
  <si>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</si>
  <si>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</si>
  <si>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</si>
  <si>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</si>
  <si>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</si>
  <si>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</si>
  <si>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</si>
  <si>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</si>
  <si>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</si>
  <si>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</si>
  <si>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</si>
  <si>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</si>
  <si>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</si>
  <si>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</si>
  <si>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</si>
  <si>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</si>
  <si>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</si>
  <si>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</si>
  <si>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</si>
  <si>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</si>
  <si>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</si>
  <si>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</si>
  <si>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</si>
  <si>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</si>
  <si>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</si>
  <si>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</si>
  <si>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</si>
  <si>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</si>
  <si>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</si>
  <si>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</si>
  <si>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</si>
  <si>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</si>
  <si>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</si>
  <si>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</si>
  <si>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</si>
  <si>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</si>
  <si>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</si>
  <si>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</si>
  <si>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</si>
  <si>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</si>
  <si>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</si>
  <si>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</si>
  <si>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</si>
  <si>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</si>
  <si>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</si>
  <si>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</si>
  <si>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</si>
  <si>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</si>
  <si>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</si>
  <si>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</si>
  <si>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</si>
  <si>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</si>
  <si>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</si>
  <si>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</si>
  <si>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</si>
  <si>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</si>
  <si>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</si>
  <si>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</si>
  <si>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</si>
  <si>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</si>
  <si>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</si>
  <si>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</si>
  <si>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</si>
  <si>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</si>
  <si>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</si>
  <si>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</si>
  <si>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</si>
  <si>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</si>
  <si>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</si>
  <si>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</si>
  <si>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</si>
  <si>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</si>
  <si>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</si>
  <si>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</si>
  <si>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</si>
  <si>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</si>
  <si>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</si>
  <si>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</si>
  <si>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</si>
  <si>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</si>
  <si>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</si>
  <si>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</si>
  <si>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</si>
  <si>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</si>
  <si>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</si>
  <si>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</si>
  <si>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</si>
  <si>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</si>
  <si>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</si>
  <si>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</si>
  <si>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</si>
  <si>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</si>
  <si>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</si>
  <si>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</si>
  <si>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</si>
  <si>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</si>
  <si>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</si>
  <si>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</si>
  <si>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</si>
  <si>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</si>
  <si>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</si>
  <si>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</si>
  <si>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</si>
  <si>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</si>
  <si>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</si>
  <si>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</si>
  <si>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</si>
  <si>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</si>
  <si>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</si>
  <si>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</si>
  <si>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</si>
  <si>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</si>
  <si>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</si>
  <si>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</si>
  <si>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</si>
  <si>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</si>
  <si>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</si>
  <si>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</si>
  <si>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</si>
  <si>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</si>
  <si>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</si>
  <si>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</si>
  <si>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</si>
  <si>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</si>
  <si>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</si>
  <si>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</si>
  <si>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</si>
  <si>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</si>
  <si>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</si>
  <si>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</si>
  <si>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</si>
  <si>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</si>
  <si>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</si>
  <si>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</si>
  <si>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</si>
  <si>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</si>
  <si>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</si>
  <si>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</si>
  <si>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</si>
  <si>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</si>
  <si>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</si>
  <si>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</si>
  <si>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</si>
  <si>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</si>
  <si>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</si>
  <si>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</si>
  <si>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</si>
  <si>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</si>
  <si>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</si>
  <si>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</si>
  <si>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</si>
  <si>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</si>
  <si>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</si>
  <si>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</si>
  <si>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</si>
  <si>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</si>
  <si>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</si>
  <si>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</si>
  <si>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</si>
  <si>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</si>
  <si>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</si>
  <si>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</si>
  <si>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</si>
  <si>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</si>
  <si>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</si>
  <si>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</si>
  <si>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</si>
  <si>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</si>
  <si>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</si>
  <si>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</si>
  <si>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</si>
  <si>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</si>
  <si>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</si>
  <si>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</si>
  <si>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</si>
  <si>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</si>
  <si>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</si>
  <si>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</si>
  <si>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</si>
  <si>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</si>
  <si>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</si>
  <si>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</si>
  <si>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</si>
  <si>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</si>
  <si>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</si>
  <si>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</si>
  <si>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</si>
  <si>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</si>
  <si>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</si>
  <si>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</si>
  <si>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</si>
  <si>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</si>
  <si>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</si>
  <si>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</si>
  <si>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</si>
  <si>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</si>
  <si>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</si>
  <si>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</si>
  <si>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</si>
  <si>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</si>
  <si>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</si>
  <si>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</si>
  <si>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</si>
  <si>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</si>
  <si>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</si>
  <si>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</si>
  <si>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</si>
  <si>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</si>
  <si>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</si>
  <si>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</si>
  <si>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</si>
  <si>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</si>
  <si>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</si>
  <si>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</si>
  <si>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</si>
  <si>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</si>
  <si>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</si>
  <si>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</si>
  <si>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</si>
  <si>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</si>
  <si>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</si>
  <si>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</si>
  <si>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</si>
  <si>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</si>
  <si>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</si>
  <si>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</si>
  <si>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</si>
  <si>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</si>
  <si>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</si>
  <si>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</si>
  <si>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</si>
  <si>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</si>
  <si>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</si>
  <si>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</si>
  <si>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</si>
  <si>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</si>
  <si>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</si>
  <si>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</si>
  <si>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</si>
  <si>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</si>
  <si>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</si>
  <si>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</si>
  <si>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</si>
  <si>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</si>
  <si>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</si>
  <si>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</si>
  <si>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</si>
  <si>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</si>
  <si>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</si>
  <si>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</si>
  <si>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</si>
  <si>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</si>
  <si>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</si>
  <si>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</si>
  <si>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</si>
  <si>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</si>
  <si>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</si>
  <si>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</si>
  <si>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</si>
  <si>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</si>
  <si>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</si>
  <si>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</si>
  <si>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</si>
  <si>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</si>
  <si>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</si>
  <si>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</si>
  <si>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</si>
  <si>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</si>
  <si>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</si>
  <si>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</si>
  <si>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</si>
  <si>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</si>
  <si>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</si>
  <si>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</si>
  <si>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</si>
  <si>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</si>
  <si>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</si>
  <si>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</si>
  <si>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</si>
  <si>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</si>
  <si>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</si>
  <si>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</si>
  <si>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</si>
  <si>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</si>
  <si>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</si>
  <si>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</si>
  <si>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</si>
  <si>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</si>
  <si>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</si>
  <si>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</si>
  <si>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</si>
  <si>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</si>
  <si>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</si>
  <si>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</si>
  <si>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</si>
  <si>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</si>
  <si>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</si>
  <si>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</si>
  <si>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</si>
  <si>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</si>
  <si>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</si>
  <si>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</si>
  <si>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</si>
  <si>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</si>
  <si>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</si>
  <si>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</si>
  <si>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</si>
  <si>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</si>
  <si>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</si>
  <si>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</si>
  <si>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</si>
  <si>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</si>
  <si>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</si>
  <si>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</si>
  <si>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</si>
  <si>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</si>
  <si>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</si>
  <si>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</si>
  <si>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</si>
  <si>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</si>
  <si>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</si>
  <si>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</si>
  <si>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</si>
  <si>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</si>
  <si>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</si>
  <si>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</si>
  <si>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</si>
  <si>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</si>
  <si>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</si>
  <si>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</si>
  <si>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</si>
  <si>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</si>
  <si>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</si>
  <si>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</si>
  <si>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</si>
  <si>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</si>
  <si>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</si>
  <si>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</si>
  <si>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</si>
  <si>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</si>
  <si>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</si>
  <si>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</si>
  <si>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</si>
  <si>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</si>
  <si>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</si>
  <si>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</si>
  <si>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</si>
  <si>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</si>
  <si>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</si>
  <si>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</si>
  <si>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</si>
  <si>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</si>
  <si>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</si>
  <si>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</si>
  <si>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</si>
  <si>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</si>
  <si>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</si>
  <si>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</si>
  <si>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</si>
  <si>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</si>
  <si>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</si>
  <si>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</si>
  <si>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</si>
  <si>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</si>
  <si>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</si>
  <si>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</si>
  <si>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</si>
  <si>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</si>
  <si>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</si>
  <si>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</si>
  <si>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</si>
  <si>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</si>
  <si>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</si>
  <si>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</si>
  <si>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</si>
  <si>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</si>
  <si>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</si>
  <si>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</si>
  <si>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</si>
  <si>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</si>
  <si>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</si>
  <si>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</si>
  <si>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</si>
  <si>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</si>
  <si>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</si>
  <si>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</si>
  <si>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</si>
  <si>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</si>
  <si>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</si>
  <si>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</si>
  <si>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</si>
  <si>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</si>
  <si>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</si>
  <si>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</si>
  <si>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</si>
  <si>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</si>
  <si>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</si>
  <si>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</si>
  <si>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</si>
  <si>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</si>
  <si>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</si>
  <si>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</si>
  <si>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</si>
  <si>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</si>
  <si>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</si>
  <si>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</si>
  <si>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</si>
  <si>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</si>
  <si>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</si>
  <si>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</si>
  <si>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</si>
  <si>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</si>
  <si>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</si>
  <si>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</si>
  <si>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</si>
  <si>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</si>
  <si>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</si>
  <si>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</si>
  <si>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</si>
  <si>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</si>
  <si>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</si>
  <si>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</si>
  <si>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</si>
  <si>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</si>
  <si>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</si>
  <si>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</si>
  <si>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</si>
  <si>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</si>
  <si>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</si>
  <si>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</si>
  <si>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</si>
  <si>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</si>
  <si>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</si>
  <si>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</si>
  <si>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</si>
  <si>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</si>
  <si>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</si>
  <si>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</si>
  <si>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</si>
  <si>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</si>
  <si>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</si>
  <si>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</si>
  <si>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</si>
  <si>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</si>
  <si>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</si>
  <si>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</si>
  <si>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</si>
  <si>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</si>
  <si>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</si>
  <si>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</si>
  <si>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</si>
  <si>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</si>
  <si>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</si>
  <si>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</si>
  <si>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</si>
  <si>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</si>
  <si>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</si>
  <si>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</si>
  <si>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</si>
  <si>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</si>
  <si>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</si>
  <si>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</si>
  <si>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</si>
  <si>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</si>
  <si>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</si>
  <si>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</si>
  <si>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</si>
  <si>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</si>
  <si>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</si>
  <si>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</si>
  <si>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</si>
  <si>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</si>
  <si>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</si>
  <si>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</si>
  <si>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</si>
  <si>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</si>
  <si>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</si>
  <si>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</si>
  <si>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</si>
  <si>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</si>
  <si>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</si>
  <si>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</si>
  <si>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</si>
  <si>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</si>
  <si>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</si>
  <si>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</si>
  <si>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</si>
  <si>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</si>
  <si>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</si>
  <si>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</si>
  <si>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</si>
  <si>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</si>
  <si>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</si>
  <si>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</si>
  <si>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</si>
  <si>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</si>
  <si>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</si>
  <si>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</si>
  <si>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</si>
  <si>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</si>
  <si>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</si>
  <si>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</si>
  <si>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</si>
  <si>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</si>
  <si>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</si>
  <si>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</si>
  <si>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</si>
  <si>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66 4 08 84290</t>
  </si>
  <si>
    <t>866. 1102. 6640884290. 540. 251</t>
  </si>
  <si>
    <t>866. 0203. 6640251180. 121. 266</t>
  </si>
  <si>
    <t>Глава администрации____________________ Сеничкина А.П.
Главный бухгалтер</t>
  </si>
  <si>
    <t>182 1 06 01030 10 2000 110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</si>
  <si>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</si>
  <si>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866 11402053 10 0000410</t>
  </si>
  <si>
    <t>866. 0801. 6640680480.851. 291</t>
  </si>
  <si>
    <t>866. 0113. 6640184460. 540. 251</t>
  </si>
  <si>
    <t>866. 1001. 6640782450. 312. 264</t>
  </si>
  <si>
    <t>на 01.12.2023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</si>
</sst>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4" fontId="4" fillId="0" borderId="0" xfId="0" applyNumberFormat="1" applyFont="1" applyAlignment="1">
      <alignment/>
    </xf>
    <xf numFmtId="0" fontId="35" fillId="38" borderId="32" xfId="0" applyFont="1" applyFill="1" applyBorder="1" applyAlignment="1">
      <alignment horizontal="left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PageLayoutView="0" workbookViewId="0" topLeftCell="A34">
      <selection activeCell="H20" sqref="H20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25" t="s">
        <v>10</v>
      </c>
      <c r="B2" s="325"/>
      <c r="C2" s="325"/>
      <c r="D2" s="325"/>
      <c r="E2" s="325"/>
      <c r="F2" s="325"/>
      <c r="G2" s="325"/>
      <c r="H2" s="5"/>
      <c r="I2" s="7" t="s">
        <v>0</v>
      </c>
    </row>
    <row r="3" spans="1:9" s="14" customFormat="1" ht="14.25">
      <c r="A3" s="336" t="s">
        <v>6</v>
      </c>
      <c r="B3" s="336"/>
      <c r="C3" s="336"/>
      <c r="D3" s="336"/>
      <c r="E3" s="336"/>
      <c r="F3" s="336"/>
      <c r="G3" s="336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549</v>
      </c>
      <c r="D4" s="73"/>
      <c r="E4" s="73"/>
      <c r="F4" s="73"/>
      <c r="G4" s="73"/>
      <c r="H4" s="8" t="s">
        <v>2</v>
      </c>
      <c r="I4" s="10" t="str">
        <f>C4</f>
        <v>на 01.12.2023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26" t="s">
        <v>435</v>
      </c>
      <c r="B6" s="327"/>
      <c r="C6" s="327"/>
      <c r="D6" s="327"/>
      <c r="E6" s="327"/>
      <c r="F6" s="327"/>
      <c r="G6" s="327"/>
      <c r="H6" s="40" t="s">
        <v>8</v>
      </c>
      <c r="I6" s="41"/>
    </row>
    <row r="7" spans="1:9" ht="15" customHeight="1">
      <c r="A7" s="335" t="s">
        <v>75</v>
      </c>
      <c r="B7" s="335"/>
      <c r="C7" s="335"/>
      <c r="D7" s="335"/>
      <c r="E7" s="335"/>
      <c r="F7" s="335"/>
      <c r="G7" s="335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28" t="s">
        <v>12</v>
      </c>
      <c r="B11" s="328"/>
      <c r="C11" s="328"/>
      <c r="D11" s="328"/>
      <c r="E11" s="328"/>
      <c r="F11" s="328"/>
      <c r="G11" s="328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29" t="s">
        <v>4</v>
      </c>
      <c r="B13" s="331" t="s">
        <v>5</v>
      </c>
      <c r="C13" s="331" t="s">
        <v>13</v>
      </c>
      <c r="D13" s="333" t="s">
        <v>14</v>
      </c>
      <c r="E13" s="339" t="s">
        <v>15</v>
      </c>
      <c r="F13" s="340"/>
      <c r="G13" s="340"/>
      <c r="H13" s="341"/>
      <c r="I13" s="323" t="s">
        <v>20</v>
      </c>
    </row>
    <row r="14" spans="1:9" s="14" customFormat="1" ht="77.25" customHeight="1">
      <c r="A14" s="330"/>
      <c r="B14" s="332"/>
      <c r="C14" s="332"/>
      <c r="D14" s="334"/>
      <c r="E14" s="46" t="s">
        <v>16</v>
      </c>
      <c r="F14" s="45" t="s">
        <v>17</v>
      </c>
      <c r="G14" s="45" t="s">
        <v>18</v>
      </c>
      <c r="H14" s="45" t="s">
        <v>19</v>
      </c>
      <c r="I14" s="324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3646206.81</v>
      </c>
      <c r="E16" s="299">
        <f t="shared" si="0"/>
        <v>3471777.9699999997</v>
      </c>
      <c r="F16" s="299">
        <f t="shared" si="0"/>
        <v>0</v>
      </c>
      <c r="G16" s="299">
        <f t="shared" si="0"/>
        <v>0</v>
      </c>
      <c r="H16" s="299">
        <f>H18+H88</f>
        <v>3471777.9699999997</v>
      </c>
      <c r="I16" s="299">
        <f t="shared" si="0"/>
        <v>174428.84000000003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615700</v>
      </c>
      <c r="E18" s="300">
        <f t="shared" si="1"/>
        <v>657852.9299999999</v>
      </c>
      <c r="F18" s="300">
        <f t="shared" si="1"/>
        <v>0</v>
      </c>
      <c r="G18" s="300">
        <f t="shared" si="1"/>
        <v>0</v>
      </c>
      <c r="H18" s="300">
        <f>H48+H53+H57+H61+H64+H66+H68</f>
        <v>657852.9299999999</v>
      </c>
      <c r="I18" s="300">
        <f t="shared" si="1"/>
        <v>-42152.93000000001</v>
      </c>
    </row>
    <row r="19" spans="1:9" s="69" customFormat="1" ht="42" customHeight="1">
      <c r="A19" s="249" t="s">
        <v>185</v>
      </c>
      <c r="B19" s="250" t="s">
        <v>44</v>
      </c>
      <c r="C19" s="182" t="s">
        <v>365</v>
      </c>
      <c r="D19" s="301">
        <v>31000</v>
      </c>
      <c r="E19" s="301">
        <f>H19</f>
        <v>66592.39</v>
      </c>
      <c r="F19" s="301"/>
      <c r="G19" s="301"/>
      <c r="H19" s="301">
        <f>54351.87+7433.8+4806.72</f>
        <v>66592.39</v>
      </c>
      <c r="I19" s="301">
        <f>D19-H19</f>
        <v>-35592.39</v>
      </c>
    </row>
    <row r="20" spans="1:9" s="69" customFormat="1" ht="60.75" customHeight="1">
      <c r="A20" s="249" t="s">
        <v>458</v>
      </c>
      <c r="B20" s="250" t="s">
        <v>44</v>
      </c>
      <c r="C20" s="184" t="s">
        <v>456</v>
      </c>
      <c r="D20" s="301">
        <v>0</v>
      </c>
      <c r="E20" s="301">
        <f>H20</f>
        <v>486.65</v>
      </c>
      <c r="F20" s="301"/>
      <c r="G20" s="301"/>
      <c r="H20" s="301">
        <f>432.58+20.95+33.12</f>
        <v>486.65</v>
      </c>
      <c r="I20" s="301">
        <f>D20-H20</f>
        <v>-486.65</v>
      </c>
    </row>
    <row r="21" spans="1:9" s="69" customFormat="1" ht="27.75" customHeight="1">
      <c r="A21" s="249" t="s">
        <v>278</v>
      </c>
      <c r="B21" s="250" t="s">
        <v>44</v>
      </c>
      <c r="C21" s="184" t="s">
        <v>457</v>
      </c>
      <c r="D21" s="301">
        <v>0</v>
      </c>
      <c r="E21" s="301">
        <f>H21</f>
        <v>-382.28</v>
      </c>
      <c r="F21" s="301"/>
      <c r="G21" s="301"/>
      <c r="H21" s="301">
        <f>-382.28</f>
        <v>-382.28</v>
      </c>
      <c r="I21" s="301">
        <f>D21-H21</f>
        <v>382.28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31000</v>
      </c>
      <c r="E22" s="302">
        <f t="shared" si="2"/>
        <v>66696.76</v>
      </c>
      <c r="F22" s="302">
        <f t="shared" si="2"/>
        <v>0</v>
      </c>
      <c r="G22" s="302">
        <f t="shared" si="2"/>
        <v>0</v>
      </c>
      <c r="H22" s="302">
        <f t="shared" si="2"/>
        <v>66696.76</v>
      </c>
      <c r="I22" s="302">
        <f t="shared" si="2"/>
        <v>-35696.76</v>
      </c>
    </row>
    <row r="23" spans="1:9" s="69" customFormat="1" ht="67.5" customHeight="1" hidden="1">
      <c r="A23" s="249" t="s">
        <v>194</v>
      </c>
      <c r="B23" s="250" t="s">
        <v>44</v>
      </c>
      <c r="C23" s="297" t="s">
        <v>198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195</v>
      </c>
      <c r="B24" s="250" t="s">
        <v>44</v>
      </c>
      <c r="C24" s="297" t="s">
        <v>199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196</v>
      </c>
      <c r="B25" s="250" t="s">
        <v>44</v>
      </c>
      <c r="C25" s="297" t="s">
        <v>200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197</v>
      </c>
      <c r="B26" s="250" t="s">
        <v>44</v>
      </c>
      <c r="C26" s="297" t="s">
        <v>201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185</v>
      </c>
      <c r="B28" s="250" t="s">
        <v>44</v>
      </c>
      <c r="C28" s="297" t="s">
        <v>193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186</v>
      </c>
      <c r="B29" s="250" t="s">
        <v>44</v>
      </c>
      <c r="C29" s="297" t="s">
        <v>184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218</v>
      </c>
      <c r="B34" s="250" t="s">
        <v>44</v>
      </c>
      <c r="C34" s="182" t="s">
        <v>380</v>
      </c>
      <c r="D34" s="301">
        <v>1000</v>
      </c>
      <c r="E34" s="301">
        <f>H34</f>
        <v>42291.24</v>
      </c>
      <c r="F34" s="301"/>
      <c r="G34" s="301"/>
      <c r="H34" s="301">
        <f>17021.94+25269.3</f>
        <v>42291.24</v>
      </c>
      <c r="I34" s="301">
        <f>D34-H34</f>
        <v>-41291.24</v>
      </c>
    </row>
    <row r="35" spans="1:9" s="21" customFormat="1" ht="23.25" customHeight="1" hidden="1">
      <c r="A35" s="249" t="s">
        <v>279</v>
      </c>
      <c r="B35" s="250" t="s">
        <v>44</v>
      </c>
      <c r="C35" s="184" t="s">
        <v>364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42291.24</v>
      </c>
      <c r="F39" s="302">
        <f t="shared" si="3"/>
        <v>0</v>
      </c>
      <c r="G39" s="302">
        <f t="shared" si="3"/>
        <v>0</v>
      </c>
      <c r="H39" s="302">
        <f t="shared" si="3"/>
        <v>42291.24</v>
      </c>
      <c r="I39" s="302">
        <f t="shared" si="3"/>
        <v>-41291.24</v>
      </c>
    </row>
    <row r="40" spans="1:9" s="21" customFormat="1" ht="22.5" customHeight="1">
      <c r="A40" s="249" t="s">
        <v>462</v>
      </c>
      <c r="B40" s="250" t="s">
        <v>44</v>
      </c>
      <c r="C40" s="234" t="s">
        <v>366</v>
      </c>
      <c r="D40" s="301">
        <v>11000</v>
      </c>
      <c r="E40" s="301">
        <f>H40</f>
        <v>9999.52</v>
      </c>
      <c r="F40" s="301"/>
      <c r="G40" s="301"/>
      <c r="H40" s="301">
        <f>802.97+8009.43+1187.12</f>
        <v>9999.52</v>
      </c>
      <c r="I40" s="301">
        <f>D40-H40</f>
        <v>1000.4799999999996</v>
      </c>
    </row>
    <row r="41" spans="1:9" s="21" customFormat="1" ht="22.5" customHeight="1" hidden="1">
      <c r="A41" s="253" t="s">
        <v>461</v>
      </c>
      <c r="B41" s="250" t="s">
        <v>44</v>
      </c>
      <c r="C41" s="184" t="s">
        <v>543</v>
      </c>
      <c r="D41" s="301"/>
      <c r="E41" s="301">
        <f>H41</f>
        <v>0</v>
      </c>
      <c r="F41" s="301"/>
      <c r="G41" s="301"/>
      <c r="H41" s="301">
        <v>0</v>
      </c>
      <c r="I41" s="301">
        <f>D41-H41</f>
        <v>0</v>
      </c>
    </row>
    <row r="42" spans="1:9" s="21" customFormat="1" ht="22.5" customHeight="1">
      <c r="A42" s="249" t="s">
        <v>463</v>
      </c>
      <c r="B42" s="250" t="s">
        <v>44</v>
      </c>
      <c r="C42" s="235" t="s">
        <v>356</v>
      </c>
      <c r="D42" s="301">
        <v>188000</v>
      </c>
      <c r="E42" s="301">
        <f>H42</f>
        <v>149877.51</v>
      </c>
      <c r="F42" s="301"/>
      <c r="G42" s="301"/>
      <c r="H42" s="301">
        <f>102430.65-3502.22+50949.08</f>
        <v>149877.51</v>
      </c>
      <c r="I42" s="301">
        <f>D42-H42</f>
        <v>38122.48999999999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464</v>
      </c>
      <c r="B44" s="250" t="s">
        <v>44</v>
      </c>
      <c r="C44" s="235" t="s">
        <v>357</v>
      </c>
      <c r="D44" s="301">
        <v>249000</v>
      </c>
      <c r="E44" s="301">
        <f>H44</f>
        <v>266715.62</v>
      </c>
      <c r="F44" s="301"/>
      <c r="G44" s="301"/>
      <c r="H44" s="301">
        <f>39523.99+121737.63+105454</f>
        <v>266715.62</v>
      </c>
      <c r="I44" s="301">
        <f>D44-H44</f>
        <v>-17715.619999999995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448000</v>
      </c>
      <c r="E47" s="302">
        <f t="shared" si="4"/>
        <v>426592.65</v>
      </c>
      <c r="F47" s="302">
        <f t="shared" si="4"/>
        <v>0</v>
      </c>
      <c r="G47" s="302">
        <f t="shared" si="4"/>
        <v>0</v>
      </c>
      <c r="H47" s="302">
        <f t="shared" si="4"/>
        <v>426592.65</v>
      </c>
      <c r="I47" s="302">
        <f t="shared" si="4"/>
        <v>21407.349999999995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480000</v>
      </c>
      <c r="E48" s="302">
        <f t="shared" si="5"/>
        <v>535580.65</v>
      </c>
      <c r="F48" s="302">
        <f t="shared" si="5"/>
        <v>0</v>
      </c>
      <c r="G48" s="302">
        <f t="shared" si="5"/>
        <v>0</v>
      </c>
      <c r="H48" s="302">
        <f t="shared" si="5"/>
        <v>535580.65</v>
      </c>
      <c r="I48" s="302">
        <f t="shared" si="5"/>
        <v>-55580.65000000001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358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465</v>
      </c>
      <c r="B51" s="250" t="s">
        <v>44</v>
      </c>
      <c r="C51" s="297" t="s">
        <v>170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466</v>
      </c>
      <c r="B52" s="250" t="s">
        <v>44</v>
      </c>
      <c r="C52" s="297" t="s">
        <v>171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178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180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467</v>
      </c>
      <c r="B56" s="250" t="s">
        <v>44</v>
      </c>
      <c r="C56" s="182" t="s">
        <v>359</v>
      </c>
      <c r="D56" s="301">
        <v>124500</v>
      </c>
      <c r="E56" s="301">
        <f>H56</f>
        <v>108861.2</v>
      </c>
      <c r="F56" s="301"/>
      <c r="G56" s="301"/>
      <c r="H56" s="301">
        <f>85447.8+7724.2+15689.2</f>
        <v>108861.2</v>
      </c>
      <c r="I56" s="301">
        <f>D56-H56</f>
        <v>15638.800000000003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124500</v>
      </c>
      <c r="E57" s="302">
        <f t="shared" si="7"/>
        <v>108861.2</v>
      </c>
      <c r="F57" s="302">
        <f t="shared" si="7"/>
        <v>0</v>
      </c>
      <c r="G57" s="302">
        <f t="shared" si="7"/>
        <v>0</v>
      </c>
      <c r="H57" s="302">
        <f t="shared" si="7"/>
        <v>108861.2</v>
      </c>
      <c r="I57" s="302">
        <f t="shared" si="7"/>
        <v>15638.800000000003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222</v>
      </c>
      <c r="B60" s="250" t="s">
        <v>44</v>
      </c>
      <c r="C60" s="182" t="s">
        <v>360</v>
      </c>
      <c r="D60" s="301">
        <v>11200</v>
      </c>
      <c r="E60" s="301">
        <f>H60</f>
        <v>13411.08</v>
      </c>
      <c r="F60" s="301"/>
      <c r="G60" s="301"/>
      <c r="H60" s="301">
        <f>12070.81+1340.27</f>
        <v>13411.08</v>
      </c>
      <c r="I60" s="301">
        <f>D60-H60</f>
        <v>-2211.08</v>
      </c>
    </row>
    <row r="61" spans="1:9" s="21" customFormat="1" ht="15.75" customHeight="1">
      <c r="A61" s="251" t="s">
        <v>95</v>
      </c>
      <c r="B61" s="250"/>
      <c r="C61" s="86" t="s">
        <v>430</v>
      </c>
      <c r="D61" s="305">
        <f aca="true" t="shared" si="8" ref="D61:I61">D60</f>
        <v>11200</v>
      </c>
      <c r="E61" s="305">
        <f t="shared" si="8"/>
        <v>13411.08</v>
      </c>
      <c r="F61" s="305">
        <f t="shared" si="8"/>
        <v>0</v>
      </c>
      <c r="G61" s="305">
        <f t="shared" si="8"/>
        <v>0</v>
      </c>
      <c r="H61" s="305">
        <f t="shared" si="8"/>
        <v>13411.08</v>
      </c>
      <c r="I61" s="305">
        <f t="shared" si="8"/>
        <v>-2211.08</v>
      </c>
    </row>
    <row r="62" spans="1:9" s="21" customFormat="1" ht="48" customHeight="1" hidden="1">
      <c r="A62" s="249" t="s">
        <v>544</v>
      </c>
      <c r="B62" s="253"/>
      <c r="C62" s="297" t="s">
        <v>545</v>
      </c>
      <c r="D62" s="301"/>
      <c r="E62" s="301">
        <f>H62</f>
        <v>0</v>
      </c>
      <c r="F62" s="301"/>
      <c r="G62" s="301"/>
      <c r="H62" s="301">
        <v>0</v>
      </c>
      <c r="I62" s="301">
        <f>D62-H62</f>
        <v>0</v>
      </c>
    </row>
    <row r="63" spans="1:9" s="21" customFormat="1" ht="35.25" customHeight="1" hidden="1">
      <c r="A63" s="249" t="s">
        <v>429</v>
      </c>
      <c r="B63" s="250" t="s">
        <v>44</v>
      </c>
      <c r="C63" s="184" t="s">
        <v>428</v>
      </c>
      <c r="D63" s="301"/>
      <c r="E63" s="301">
        <f>H63</f>
        <v>0</v>
      </c>
      <c r="F63" s="301"/>
      <c r="G63" s="301"/>
      <c r="H63" s="301">
        <v>0</v>
      </c>
      <c r="I63" s="301">
        <f>D63-H63</f>
        <v>0</v>
      </c>
    </row>
    <row r="64" spans="1:9" s="21" customFormat="1" ht="18" customHeight="1" hidden="1">
      <c r="A64" s="251" t="s">
        <v>95</v>
      </c>
      <c r="B64" s="251"/>
      <c r="C64" s="67">
        <v>866114</v>
      </c>
      <c r="D64" s="302">
        <f>D63</f>
        <v>0</v>
      </c>
      <c r="E64" s="302">
        <f>E63+E62</f>
        <v>0</v>
      </c>
      <c r="F64" s="302">
        <f>F63+F62</f>
        <v>0</v>
      </c>
      <c r="G64" s="302">
        <f>G63+G62</f>
        <v>0</v>
      </c>
      <c r="H64" s="302">
        <f>H63+H62</f>
        <v>0</v>
      </c>
      <c r="I64" s="302">
        <f>I63</f>
        <v>0</v>
      </c>
    </row>
    <row r="65" spans="1:9" s="21" customFormat="1" ht="39.75" customHeight="1" hidden="1">
      <c r="A65" s="254" t="s">
        <v>459</v>
      </c>
      <c r="B65" s="251"/>
      <c r="C65" s="237" t="s">
        <v>460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9" ref="D66:I66">D65</f>
        <v>0</v>
      </c>
      <c r="E66" s="302">
        <f t="shared" si="9"/>
        <v>0</v>
      </c>
      <c r="F66" s="302">
        <f t="shared" si="9"/>
        <v>0</v>
      </c>
      <c r="G66" s="302">
        <f t="shared" si="9"/>
        <v>0</v>
      </c>
      <c r="H66" s="302">
        <f t="shared" si="9"/>
        <v>0</v>
      </c>
      <c r="I66" s="302">
        <f t="shared" si="9"/>
        <v>0</v>
      </c>
    </row>
    <row r="67" spans="1:9" s="21" customFormat="1" ht="21" customHeight="1" hidden="1">
      <c r="A67" s="249" t="s">
        <v>229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 hidden="1">
      <c r="A68" s="251" t="s">
        <v>95</v>
      </c>
      <c r="B68" s="251"/>
      <c r="C68" s="67">
        <v>866117</v>
      </c>
      <c r="D68" s="302">
        <f aca="true" t="shared" si="10" ref="D68:I68">D67</f>
        <v>0</v>
      </c>
      <c r="E68" s="302">
        <f t="shared" si="10"/>
        <v>0</v>
      </c>
      <c r="F68" s="302">
        <f t="shared" si="10"/>
        <v>0</v>
      </c>
      <c r="G68" s="302">
        <f t="shared" si="10"/>
        <v>0</v>
      </c>
      <c r="H68" s="302">
        <f t="shared" si="10"/>
        <v>0</v>
      </c>
      <c r="I68" s="302">
        <f t="shared" si="10"/>
        <v>0</v>
      </c>
    </row>
    <row r="69" spans="1:9" s="21" customFormat="1" ht="23.25" customHeight="1">
      <c r="A69" s="253" t="s">
        <v>468</v>
      </c>
      <c r="B69" s="250" t="s">
        <v>44</v>
      </c>
      <c r="C69" s="181" t="s">
        <v>391</v>
      </c>
      <c r="D69" s="301">
        <v>604983</v>
      </c>
      <c r="E69" s="301">
        <f>H69</f>
        <v>554565</v>
      </c>
      <c r="F69" s="301"/>
      <c r="G69" s="301"/>
      <c r="H69" s="301">
        <f>453735+50415+50415</f>
        <v>554565</v>
      </c>
      <c r="I69" s="301">
        <f>D69-H69</f>
        <v>50418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1" ref="E70:E87">H70</f>
        <v>0</v>
      </c>
      <c r="F70" s="301"/>
      <c r="G70" s="301"/>
      <c r="H70" s="301"/>
      <c r="I70" s="301">
        <f aca="true" t="shared" si="12" ref="I70:I87">D70-H70</f>
        <v>0</v>
      </c>
    </row>
    <row r="71" spans="1:9" s="21" customFormat="1" ht="18" customHeight="1">
      <c r="A71" s="253" t="s">
        <v>469</v>
      </c>
      <c r="B71" s="250" t="s">
        <v>44</v>
      </c>
      <c r="C71" s="181" t="s">
        <v>441</v>
      </c>
      <c r="D71" s="308">
        <v>95458</v>
      </c>
      <c r="E71" s="301">
        <f t="shared" si="11"/>
        <v>88219</v>
      </c>
      <c r="F71" s="301"/>
      <c r="G71" s="301"/>
      <c r="H71" s="301">
        <f>73757+7231+7231</f>
        <v>88219</v>
      </c>
      <c r="I71" s="301">
        <f t="shared" si="12"/>
        <v>7239</v>
      </c>
    </row>
    <row r="72" spans="1:9" s="21" customFormat="1" ht="32.25" customHeight="1" hidden="1">
      <c r="A72" s="249" t="s">
        <v>236</v>
      </c>
      <c r="B72" s="250" t="s">
        <v>44</v>
      </c>
      <c r="C72" s="297" t="s">
        <v>237</v>
      </c>
      <c r="D72" s="308"/>
      <c r="E72" s="301">
        <f t="shared" si="11"/>
        <v>0</v>
      </c>
      <c r="F72" s="301"/>
      <c r="G72" s="301"/>
      <c r="H72" s="301"/>
      <c r="I72" s="301">
        <f t="shared" si="12"/>
        <v>0</v>
      </c>
    </row>
    <row r="73" spans="1:9" s="21" customFormat="1" ht="39" customHeight="1" hidden="1">
      <c r="A73" s="249" t="s">
        <v>238</v>
      </c>
      <c r="B73" s="250" t="s">
        <v>44</v>
      </c>
      <c r="C73" s="297" t="s">
        <v>237</v>
      </c>
      <c r="D73" s="308"/>
      <c r="E73" s="301">
        <f t="shared" si="11"/>
        <v>0</v>
      </c>
      <c r="F73" s="301"/>
      <c r="G73" s="301"/>
      <c r="H73" s="301"/>
      <c r="I73" s="301">
        <f t="shared" si="12"/>
        <v>0</v>
      </c>
    </row>
    <row r="74" spans="1:9" s="21" customFormat="1" ht="21.75" customHeight="1" hidden="1">
      <c r="A74" s="249" t="s">
        <v>234</v>
      </c>
      <c r="B74" s="250" t="s">
        <v>44</v>
      </c>
      <c r="C74" s="297" t="s">
        <v>113</v>
      </c>
      <c r="D74" s="301"/>
      <c r="E74" s="301">
        <f t="shared" si="11"/>
        <v>0</v>
      </c>
      <c r="F74" s="301"/>
      <c r="G74" s="301"/>
      <c r="H74" s="301"/>
      <c r="I74" s="301">
        <f t="shared" si="12"/>
        <v>0</v>
      </c>
    </row>
    <row r="75" spans="1:9" s="21" customFormat="1" ht="61.5" customHeight="1" hidden="1">
      <c r="A75" s="342" t="s">
        <v>101</v>
      </c>
      <c r="B75" s="343"/>
      <c r="C75" s="297"/>
      <c r="D75" s="309"/>
      <c r="E75" s="301">
        <f t="shared" si="11"/>
        <v>0</v>
      </c>
      <c r="F75" s="301"/>
      <c r="G75" s="301"/>
      <c r="H75" s="301"/>
      <c r="I75" s="301">
        <f t="shared" si="12"/>
        <v>0</v>
      </c>
    </row>
    <row r="76" spans="1:9" s="21" customFormat="1" ht="27.75" customHeight="1" hidden="1">
      <c r="A76" s="249" t="s">
        <v>235</v>
      </c>
      <c r="B76" s="250" t="s">
        <v>44</v>
      </c>
      <c r="C76" s="297" t="s">
        <v>113</v>
      </c>
      <c r="D76" s="310"/>
      <c r="E76" s="301">
        <f t="shared" si="11"/>
        <v>0</v>
      </c>
      <c r="F76" s="301"/>
      <c r="G76" s="301"/>
      <c r="H76" s="301"/>
      <c r="I76" s="301">
        <f t="shared" si="12"/>
        <v>0</v>
      </c>
    </row>
    <row r="77" spans="1:9" s="21" customFormat="1" ht="59.25" customHeight="1" hidden="1">
      <c r="A77" s="342" t="s">
        <v>103</v>
      </c>
      <c r="B77" s="343"/>
      <c r="C77" s="297"/>
      <c r="D77" s="309"/>
      <c r="E77" s="301">
        <f t="shared" si="11"/>
        <v>0</v>
      </c>
      <c r="F77" s="301"/>
      <c r="G77" s="301"/>
      <c r="H77" s="301"/>
      <c r="I77" s="301">
        <f t="shared" si="12"/>
        <v>0</v>
      </c>
    </row>
    <row r="78" spans="1:9" s="21" customFormat="1" ht="61.5" customHeight="1" hidden="1">
      <c r="A78" s="342" t="s">
        <v>107</v>
      </c>
      <c r="B78" s="343"/>
      <c r="C78" s="297"/>
      <c r="D78" s="309"/>
      <c r="E78" s="301">
        <f t="shared" si="11"/>
        <v>0</v>
      </c>
      <c r="F78" s="301"/>
      <c r="G78" s="301"/>
      <c r="H78" s="301"/>
      <c r="I78" s="301">
        <f t="shared" si="12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1"/>
        <v>0</v>
      </c>
      <c r="F79" s="301"/>
      <c r="G79" s="301"/>
      <c r="H79" s="301"/>
      <c r="I79" s="301">
        <f t="shared" si="12"/>
        <v>0</v>
      </c>
    </row>
    <row r="80" spans="1:9" s="21" customFormat="1" ht="66" customHeight="1" hidden="1">
      <c r="A80" s="342" t="s">
        <v>115</v>
      </c>
      <c r="B80" s="343"/>
      <c r="C80" s="297"/>
      <c r="D80" s="309"/>
      <c r="E80" s="301">
        <f t="shared" si="11"/>
        <v>0</v>
      </c>
      <c r="F80" s="301"/>
      <c r="G80" s="301"/>
      <c r="H80" s="301"/>
      <c r="I80" s="301">
        <f t="shared" si="12"/>
        <v>0</v>
      </c>
    </row>
    <row r="81" spans="1:9" s="21" customFormat="1" ht="71.25" customHeight="1" hidden="1">
      <c r="A81" s="342" t="s">
        <v>137</v>
      </c>
      <c r="B81" s="343"/>
      <c r="C81" s="297"/>
      <c r="D81" s="309"/>
      <c r="E81" s="301">
        <f t="shared" si="11"/>
        <v>0</v>
      </c>
      <c r="F81" s="301"/>
      <c r="G81" s="301"/>
      <c r="H81" s="301"/>
      <c r="I81" s="301">
        <f t="shared" si="12"/>
        <v>0</v>
      </c>
    </row>
    <row r="82" spans="1:9" s="21" customFormat="1" ht="73.5" customHeight="1" hidden="1">
      <c r="A82" s="337" t="s">
        <v>148</v>
      </c>
      <c r="B82" s="338"/>
      <c r="C82" s="297"/>
      <c r="D82" s="309"/>
      <c r="E82" s="301">
        <f t="shared" si="11"/>
        <v>0</v>
      </c>
      <c r="F82" s="301"/>
      <c r="G82" s="301"/>
      <c r="H82" s="301"/>
      <c r="I82" s="301">
        <f t="shared" si="12"/>
        <v>0</v>
      </c>
    </row>
    <row r="83" spans="1:9" s="21" customFormat="1" ht="73.5" customHeight="1" hidden="1">
      <c r="A83" s="249" t="s">
        <v>188</v>
      </c>
      <c r="B83" s="250" t="s">
        <v>44</v>
      </c>
      <c r="C83" s="297" t="s">
        <v>113</v>
      </c>
      <c r="D83" s="301"/>
      <c r="E83" s="301">
        <f t="shared" si="11"/>
        <v>0</v>
      </c>
      <c r="F83" s="301"/>
      <c r="G83" s="301"/>
      <c r="H83" s="301"/>
      <c r="I83" s="301">
        <f t="shared" si="12"/>
        <v>0</v>
      </c>
    </row>
    <row r="84" spans="1:9" s="21" customFormat="1" ht="104.25" customHeight="1" hidden="1">
      <c r="A84" s="249" t="s">
        <v>217</v>
      </c>
      <c r="B84" s="250" t="s">
        <v>44</v>
      </c>
      <c r="C84" s="297" t="s">
        <v>216</v>
      </c>
      <c r="D84" s="301"/>
      <c r="E84" s="301">
        <f t="shared" si="11"/>
        <v>0</v>
      </c>
      <c r="F84" s="301"/>
      <c r="G84" s="301"/>
      <c r="H84" s="301"/>
      <c r="I84" s="301">
        <f t="shared" si="12"/>
        <v>0</v>
      </c>
    </row>
    <row r="85" spans="1:9" s="21" customFormat="1" ht="26.25" customHeight="1">
      <c r="A85" s="249" t="s">
        <v>470</v>
      </c>
      <c r="B85" s="250" t="s">
        <v>44</v>
      </c>
      <c r="C85" s="181" t="s">
        <v>392</v>
      </c>
      <c r="D85" s="301">
        <v>114948.96</v>
      </c>
      <c r="E85" s="301">
        <f t="shared" si="11"/>
        <v>114948.95999999999</v>
      </c>
      <c r="F85" s="301"/>
      <c r="G85" s="301"/>
      <c r="H85" s="301">
        <f>80464.28+34484.68</f>
        <v>114948.95999999999</v>
      </c>
      <c r="I85" s="301">
        <f t="shared" si="12"/>
        <v>0</v>
      </c>
    </row>
    <row r="86" spans="1:9" s="21" customFormat="1" ht="24" hidden="1">
      <c r="A86" s="249" t="s">
        <v>223</v>
      </c>
      <c r="B86" s="250" t="s">
        <v>44</v>
      </c>
      <c r="C86" s="297" t="s">
        <v>396</v>
      </c>
      <c r="D86" s="301"/>
      <c r="E86" s="301">
        <f t="shared" si="11"/>
        <v>0</v>
      </c>
      <c r="F86" s="301"/>
      <c r="G86" s="301"/>
      <c r="H86" s="301"/>
      <c r="I86" s="301">
        <f t="shared" si="12"/>
        <v>0</v>
      </c>
    </row>
    <row r="87" spans="1:9" s="21" customFormat="1" ht="39" customHeight="1">
      <c r="A87" s="249" t="s">
        <v>226</v>
      </c>
      <c r="B87" s="250" t="s">
        <v>44</v>
      </c>
      <c r="C87" s="181" t="s">
        <v>393</v>
      </c>
      <c r="D87" s="301">
        <v>2215116.85</v>
      </c>
      <c r="E87" s="301">
        <f t="shared" si="11"/>
        <v>2056192.08</v>
      </c>
      <c r="F87" s="301"/>
      <c r="G87" s="301"/>
      <c r="H87" s="301">
        <f>1778192.02+278000.06</f>
        <v>2056192.08</v>
      </c>
      <c r="I87" s="301">
        <f t="shared" si="12"/>
        <v>158924.77000000002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3" ref="D88:I88">D87+D85+D71+D69</f>
        <v>3030506.81</v>
      </c>
      <c r="E88" s="302">
        <f>E87+E85+E71+E69</f>
        <v>2813925.04</v>
      </c>
      <c r="F88" s="302">
        <f t="shared" si="13"/>
        <v>0</v>
      </c>
      <c r="G88" s="302">
        <f t="shared" si="13"/>
        <v>0</v>
      </c>
      <c r="H88" s="302">
        <f t="shared" si="13"/>
        <v>2813925.04</v>
      </c>
      <c r="I88" s="302">
        <f t="shared" si="13"/>
        <v>216581.77000000002</v>
      </c>
    </row>
    <row r="89" spans="1:9" s="21" customFormat="1" ht="48" hidden="1">
      <c r="A89" s="32" t="s">
        <v>48</v>
      </c>
      <c r="B89" s="33" t="s">
        <v>44</v>
      </c>
      <c r="C89" s="34" t="s">
        <v>114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4" ref="D90:I90">SUM(D89:D89)</f>
        <v>0</v>
      </c>
      <c r="E90" s="65">
        <f t="shared" si="14"/>
        <v>0</v>
      </c>
      <c r="F90" s="65">
        <f t="shared" si="14"/>
        <v>0</v>
      </c>
      <c r="G90" s="65">
        <f t="shared" si="14"/>
        <v>0</v>
      </c>
      <c r="H90" s="65">
        <f t="shared" si="14"/>
        <v>0</v>
      </c>
      <c r="I90" s="65">
        <f t="shared" si="14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  <row r="95" ht="12.75">
      <c r="H95" s="321"/>
    </row>
  </sheetData>
  <sheetProtection/>
  <mergeCells count="17">
    <mergeCell ref="A82:B82"/>
    <mergeCell ref="E13:H13"/>
    <mergeCell ref="A75:B75"/>
    <mergeCell ref="A77:B77"/>
    <mergeCell ref="A78:B78"/>
    <mergeCell ref="A80:B80"/>
    <mergeCell ref="A81:B81"/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57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showGridLines="0" zoomScale="85" zoomScaleNormal="85" zoomScalePageLayoutView="0" workbookViewId="0" topLeftCell="A1">
      <pane xSplit="2" ySplit="7" topLeftCell="C1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78" sqref="F178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5" t="s">
        <v>22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s="14" customFormat="1" ht="15.75">
      <c r="A2" s="49"/>
      <c r="B2" s="49"/>
      <c r="C2" s="49"/>
      <c r="D2" s="344" t="str">
        <f>'1. Доходы бюджета (1.12)'!C4</f>
        <v>на 01.12.2023 года</v>
      </c>
      <c r="E2" s="344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6" t="s">
        <v>4</v>
      </c>
      <c r="B4" s="333" t="s">
        <v>5</v>
      </c>
      <c r="C4" s="333" t="s">
        <v>24</v>
      </c>
      <c r="D4" s="333" t="s">
        <v>27</v>
      </c>
      <c r="E4" s="333" t="s">
        <v>26</v>
      </c>
      <c r="F4" s="333" t="s">
        <v>15</v>
      </c>
      <c r="G4" s="333"/>
      <c r="H4" s="333"/>
      <c r="I4" s="333"/>
      <c r="J4" s="333" t="s">
        <v>20</v>
      </c>
      <c r="K4" s="333" t="s">
        <v>20</v>
      </c>
    </row>
    <row r="5" spans="1:11" s="14" customFormat="1" ht="45" customHeight="1">
      <c r="A5" s="347"/>
      <c r="B5" s="334"/>
      <c r="C5" s="334"/>
      <c r="D5" s="334"/>
      <c r="E5" s="334"/>
      <c r="F5" s="334" t="s">
        <v>16</v>
      </c>
      <c r="G5" s="334" t="s">
        <v>17</v>
      </c>
      <c r="H5" s="334" t="s">
        <v>18</v>
      </c>
      <c r="I5" s="334" t="s">
        <v>19</v>
      </c>
      <c r="J5" s="334" t="s">
        <v>25</v>
      </c>
      <c r="K5" s="334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190</v>
      </c>
      <c r="D7" s="94">
        <f aca="true" t="shared" si="0" ref="D7:I7">D67+D80+D100+D121+D144+D155+D168+D176</f>
        <v>4483881.13</v>
      </c>
      <c r="E7" s="94">
        <f t="shared" si="0"/>
        <v>4483881.13</v>
      </c>
      <c r="F7" s="312">
        <f t="shared" si="0"/>
        <v>3909292.39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574588.7399999998</v>
      </c>
      <c r="K7" s="94">
        <f>E7-F7</f>
        <v>574588.7399999998</v>
      </c>
      <c r="L7" s="81">
        <f>D7-F7</f>
        <v>574588.7399999998</v>
      </c>
      <c r="M7" s="91">
        <f>K7-L7</f>
        <v>0</v>
      </c>
    </row>
    <row r="8" spans="1:11" s="21" customFormat="1" ht="36.75" customHeight="1">
      <c r="A8" s="270" t="s">
        <v>431</v>
      </c>
      <c r="B8" s="77"/>
      <c r="C8" s="80" t="s">
        <v>479</v>
      </c>
      <c r="D8" s="65">
        <f>D9+D10+D11</f>
        <v>529885</v>
      </c>
      <c r="E8" s="65">
        <f>E9+E10+E11</f>
        <v>529885</v>
      </c>
      <c r="F8" s="313">
        <f>F9+F10+F11</f>
        <v>415898.69</v>
      </c>
      <c r="G8" s="65">
        <f>G9+G11</f>
        <v>0</v>
      </c>
      <c r="H8" s="65">
        <f>H9+H11</f>
        <v>0</v>
      </c>
      <c r="I8" s="65">
        <f>I9+I10+I11</f>
        <v>415898.69</v>
      </c>
      <c r="J8" s="65">
        <f>J9+J11</f>
        <v>113986.31</v>
      </c>
      <c r="K8" s="65">
        <f>K9+K11</f>
        <v>113986.31</v>
      </c>
    </row>
    <row r="9" spans="1:11" s="21" customFormat="1" ht="20.25" customHeight="1">
      <c r="A9" s="60" t="s">
        <v>471</v>
      </c>
      <c r="B9" s="77"/>
      <c r="C9" s="273" t="s">
        <v>476</v>
      </c>
      <c r="D9" s="92">
        <f>399599.48-499</f>
        <v>399100.48</v>
      </c>
      <c r="E9" s="92">
        <f>D9</f>
        <v>399100.48</v>
      </c>
      <c r="F9" s="314">
        <f>284486.67+1404.33+7000+910+9240.35+1351+12000+1560-499</f>
        <v>317453.35</v>
      </c>
      <c r="G9" s="92"/>
      <c r="H9" s="92"/>
      <c r="I9" s="65">
        <f>F9</f>
        <v>317453.35</v>
      </c>
      <c r="J9" s="92">
        <f>D9-F9</f>
        <v>81647.13</v>
      </c>
      <c r="K9" s="92">
        <f>E9-F9</f>
        <v>81647.13</v>
      </c>
    </row>
    <row r="10" spans="1:15" s="21" customFormat="1" ht="30.75" customHeight="1">
      <c r="A10" s="201" t="s">
        <v>409</v>
      </c>
      <c r="B10" s="77"/>
      <c r="C10" s="273" t="s">
        <v>477</v>
      </c>
      <c r="D10" s="92">
        <f>7378.52+499</f>
        <v>7877.52</v>
      </c>
      <c r="E10" s="92">
        <f>D10</f>
        <v>7877.52</v>
      </c>
      <c r="F10" s="315">
        <f>7378.52+499</f>
        <v>7877.52</v>
      </c>
      <c r="G10" s="92"/>
      <c r="H10" s="92"/>
      <c r="I10" s="65">
        <f>F10</f>
        <v>7877.52</v>
      </c>
      <c r="J10" s="92">
        <f>D10-F10</f>
        <v>0</v>
      </c>
      <c r="K10" s="92">
        <f>E10-F10</f>
        <v>0</v>
      </c>
      <c r="O10" s="247"/>
    </row>
    <row r="11" spans="1:15" s="21" customFormat="1" ht="19.5" customHeight="1">
      <c r="A11" s="60" t="s">
        <v>52</v>
      </c>
      <c r="B11" s="77"/>
      <c r="C11" s="273" t="s">
        <v>478</v>
      </c>
      <c r="D11" s="92">
        <v>122907</v>
      </c>
      <c r="E11" s="92">
        <f>D11</f>
        <v>122907</v>
      </c>
      <c r="F11" s="314">
        <f>67821.88+17017.6+113.45+5577.71+37.18</f>
        <v>90567.82</v>
      </c>
      <c r="G11" s="92"/>
      <c r="H11" s="92"/>
      <c r="I11" s="65">
        <f>F11</f>
        <v>90567.82</v>
      </c>
      <c r="J11" s="92">
        <f>D11-F11</f>
        <v>32339.179999999993</v>
      </c>
      <c r="K11" s="92">
        <f>E11-F11</f>
        <v>32339.179999999993</v>
      </c>
      <c r="O11" s="247"/>
    </row>
    <row r="12" spans="1:11" s="59" customFormat="1" ht="35.25" customHeight="1">
      <c r="A12" s="272" t="s">
        <v>206</v>
      </c>
      <c r="B12" s="256"/>
      <c r="C12" s="257" t="s">
        <v>480</v>
      </c>
      <c r="D12" s="258">
        <f>D13+D14+D16+D28+D21</f>
        <v>1155269.9999999998</v>
      </c>
      <c r="E12" s="258">
        <f>E13+E14+E16+E28+E21</f>
        <v>1155269.9999999998</v>
      </c>
      <c r="F12" s="316">
        <f>F13+F14+F16+F28+F21</f>
        <v>956205.2399999999</v>
      </c>
      <c r="G12" s="258">
        <f>G13+G14+G16+G28</f>
        <v>0</v>
      </c>
      <c r="H12" s="258">
        <f>H13+H14+H16+H28</f>
        <v>0</v>
      </c>
      <c r="I12" s="258">
        <f>I13+I14+I16+I28</f>
        <v>881845.6199999999</v>
      </c>
      <c r="J12" s="258">
        <f>J13+J14+J16+J28</f>
        <v>163896.99000000008</v>
      </c>
      <c r="K12" s="258">
        <f>K13+K14+K16+K28</f>
        <v>167896.99000000008</v>
      </c>
    </row>
    <row r="13" spans="1:11" s="21" customFormat="1" ht="16.5" customHeight="1">
      <c r="A13" s="60" t="s">
        <v>51</v>
      </c>
      <c r="B13" s="61" t="s">
        <v>50</v>
      </c>
      <c r="C13" s="273" t="s">
        <v>481</v>
      </c>
      <c r="D13" s="92">
        <v>414385</v>
      </c>
      <c r="E13" s="92">
        <f>D13</f>
        <v>414385</v>
      </c>
      <c r="F13" s="314">
        <f>301989.43+168.36+1532.89+335.73+9570.7+856+13500+1755+1534.72+1534.72+3566.29+9354.45+2231+13500+1755</f>
        <v>363184.2899999999</v>
      </c>
      <c r="G13" s="62">
        <v>0</v>
      </c>
      <c r="H13" s="62">
        <v>0</v>
      </c>
      <c r="I13" s="62">
        <f aca="true" t="shared" si="1" ref="I13:I27">SUM(F13:H13)</f>
        <v>363184.2899999999</v>
      </c>
      <c r="J13" s="62">
        <f>D13-F13</f>
        <v>51200.71000000008</v>
      </c>
      <c r="K13" s="62">
        <f>E13-F13</f>
        <v>51200.71000000008</v>
      </c>
    </row>
    <row r="14" spans="1:16" s="21" customFormat="1" ht="35.25" customHeight="1" hidden="1">
      <c r="A14" s="201" t="s">
        <v>409</v>
      </c>
      <c r="B14" s="61" t="s">
        <v>50</v>
      </c>
      <c r="C14" s="273" t="s">
        <v>482</v>
      </c>
      <c r="D14" s="92">
        <v>0</v>
      </c>
      <c r="E14" s="92">
        <f aca="true" t="shared" si="2" ref="E14:E26">D14</f>
        <v>0</v>
      </c>
      <c r="F14" s="314">
        <v>0</v>
      </c>
      <c r="G14" s="62">
        <v>0</v>
      </c>
      <c r="H14" s="62">
        <v>0</v>
      </c>
      <c r="I14" s="62">
        <f t="shared" si="1"/>
        <v>0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427</v>
      </c>
      <c r="D15" s="92">
        <f aca="true" t="shared" si="3" ref="D15:K15">D13+D14</f>
        <v>414385</v>
      </c>
      <c r="E15" s="92">
        <f t="shared" si="3"/>
        <v>414385</v>
      </c>
      <c r="F15" s="314">
        <f t="shared" si="3"/>
        <v>363184.2899999999</v>
      </c>
      <c r="G15" s="62">
        <f t="shared" si="3"/>
        <v>0</v>
      </c>
      <c r="H15" s="62">
        <f t="shared" si="3"/>
        <v>0</v>
      </c>
      <c r="I15" s="62">
        <f t="shared" si="3"/>
        <v>363184.2899999999</v>
      </c>
      <c r="J15" s="62">
        <f t="shared" si="3"/>
        <v>51200.71000000008</v>
      </c>
      <c r="K15" s="62">
        <f t="shared" si="3"/>
        <v>51200.71000000008</v>
      </c>
    </row>
    <row r="16" spans="1:11" s="21" customFormat="1" ht="22.5" customHeight="1">
      <c r="A16" s="60" t="s">
        <v>52</v>
      </c>
      <c r="B16" s="61" t="s">
        <v>50</v>
      </c>
      <c r="C16" s="273" t="s">
        <v>483</v>
      </c>
      <c r="D16" s="92">
        <v>125145</v>
      </c>
      <c r="E16" s="92">
        <f>D16</f>
        <v>125145</v>
      </c>
      <c r="F16" s="314">
        <f>81390.31+9915.81+66.11+10042.84+66.95</f>
        <v>101482.01999999999</v>
      </c>
      <c r="G16" s="62">
        <v>0</v>
      </c>
      <c r="H16" s="62">
        <v>0</v>
      </c>
      <c r="I16" s="62">
        <f t="shared" si="1"/>
        <v>101482.01999999999</v>
      </c>
      <c r="J16" s="62">
        <f aca="true" t="shared" si="4" ref="J16:J27">D16-F16</f>
        <v>23662.98000000001</v>
      </c>
      <c r="K16" s="62">
        <f aca="true" t="shared" si="5" ref="K16:K27">E16-F16</f>
        <v>23662.98000000001</v>
      </c>
    </row>
    <row r="17" spans="1:11" s="21" customFormat="1" ht="16.5" customHeight="1">
      <c r="A17" s="271"/>
      <c r="B17" s="231"/>
      <c r="C17" s="263" t="s">
        <v>437</v>
      </c>
      <c r="D17" s="211">
        <f>D15+D16</f>
        <v>539530</v>
      </c>
      <c r="E17" s="211">
        <f>E15+E16</f>
        <v>539530</v>
      </c>
      <c r="F17" s="313">
        <f>F15+F16</f>
        <v>464666.30999999994</v>
      </c>
      <c r="G17" s="211">
        <f>H15+H16</f>
        <v>0</v>
      </c>
      <c r="H17" s="211">
        <v>0</v>
      </c>
      <c r="I17" s="211">
        <f>I15+I16</f>
        <v>464666.30999999994</v>
      </c>
      <c r="J17" s="211">
        <f>J15+J16</f>
        <v>74863.69000000009</v>
      </c>
      <c r="K17" s="211">
        <f>K15+K16</f>
        <v>74863.69000000009</v>
      </c>
    </row>
    <row r="18" spans="1:11" s="21" customFormat="1" ht="15" customHeight="1">
      <c r="A18" s="60" t="s">
        <v>455</v>
      </c>
      <c r="B18" s="61" t="s">
        <v>50</v>
      </c>
      <c r="C18" s="273" t="s">
        <v>484</v>
      </c>
      <c r="D18" s="92">
        <v>30000</v>
      </c>
      <c r="E18" s="92">
        <f t="shared" si="2"/>
        <v>30000</v>
      </c>
      <c r="F18" s="314">
        <f>21471.26+745.58+1650+843.29+1650</f>
        <v>26360.13</v>
      </c>
      <c r="G18" s="62">
        <v>0</v>
      </c>
      <c r="H18" s="62">
        <v>0</v>
      </c>
      <c r="I18" s="62">
        <f t="shared" si="1"/>
        <v>26360.13</v>
      </c>
      <c r="J18" s="62">
        <f t="shared" si="4"/>
        <v>3639.869999999999</v>
      </c>
      <c r="K18" s="62">
        <f>E18-F18</f>
        <v>3639.869999999999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224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485</v>
      </c>
      <c r="D20" s="92">
        <v>2000</v>
      </c>
      <c r="E20" s="92">
        <f t="shared" si="2"/>
        <v>2000</v>
      </c>
      <c r="F20" s="314">
        <f>1540.5+172.59+172.59</f>
        <v>1885.6799999999998</v>
      </c>
      <c r="G20" s="62">
        <v>0</v>
      </c>
      <c r="H20" s="62">
        <v>0</v>
      </c>
      <c r="I20" s="62">
        <f t="shared" si="1"/>
        <v>1885.6799999999998</v>
      </c>
      <c r="J20" s="62">
        <f t="shared" si="4"/>
        <v>114.32000000000016</v>
      </c>
      <c r="K20" s="62">
        <f t="shared" si="5"/>
        <v>114.32000000000016</v>
      </c>
    </row>
    <row r="21" spans="1:14" s="21" customFormat="1" ht="17.25" customHeight="1">
      <c r="A21" s="241" t="s">
        <v>54</v>
      </c>
      <c r="B21" s="242"/>
      <c r="C21" s="274" t="s">
        <v>486</v>
      </c>
      <c r="D21" s="279">
        <v>73527.39</v>
      </c>
      <c r="E21" s="279">
        <f>D21</f>
        <v>73527.39</v>
      </c>
      <c r="F21" s="243">
        <f>35286.58+666.46+2841.72+3564.86</f>
        <v>42359.62</v>
      </c>
      <c r="G21" s="243"/>
      <c r="H21" s="243"/>
      <c r="I21" s="243"/>
      <c r="J21" s="243"/>
      <c r="K21" s="243">
        <f>D21-F21</f>
        <v>31167.769999999997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487</v>
      </c>
      <c r="D22" s="92">
        <v>78000</v>
      </c>
      <c r="E22" s="92">
        <f t="shared" si="2"/>
        <v>78000</v>
      </c>
      <c r="F22" s="314">
        <f>41590.8+2472.6+400+2610+390+900+6+78</f>
        <v>48447.4</v>
      </c>
      <c r="G22" s="62">
        <v>0</v>
      </c>
      <c r="H22" s="62">
        <v>0</v>
      </c>
      <c r="I22" s="62">
        <f t="shared" si="1"/>
        <v>48447.4</v>
      </c>
      <c r="J22" s="62">
        <f t="shared" si="4"/>
        <v>29552.6</v>
      </c>
      <c r="K22" s="62">
        <f t="shared" si="5"/>
        <v>29552.6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488</v>
      </c>
      <c r="D23" s="92">
        <v>294412.61</v>
      </c>
      <c r="E23" s="92">
        <f t="shared" si="2"/>
        <v>294412.61</v>
      </c>
      <c r="F23" s="314">
        <f>207981.9+16878+2522+5820+38.8+16878+2522+5820+38.8+6800</f>
        <v>265299.5</v>
      </c>
      <c r="G23" s="62">
        <v>0</v>
      </c>
      <c r="H23" s="62">
        <v>0</v>
      </c>
      <c r="I23" s="62">
        <f t="shared" si="1"/>
        <v>265299.5</v>
      </c>
      <c r="J23" s="62">
        <f t="shared" si="4"/>
        <v>29113.109999999986</v>
      </c>
      <c r="K23" s="62">
        <f t="shared" si="5"/>
        <v>29113.109999999986</v>
      </c>
    </row>
    <row r="24" spans="1:11" s="21" customFormat="1" ht="16.5" customHeight="1">
      <c r="A24" s="60" t="s">
        <v>438</v>
      </c>
      <c r="B24" s="61" t="s">
        <v>50</v>
      </c>
      <c r="C24" s="273" t="s">
        <v>489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150</v>
      </c>
      <c r="B25" s="61" t="s">
        <v>50</v>
      </c>
      <c r="C25" s="273" t="s">
        <v>490</v>
      </c>
      <c r="D25" s="92">
        <v>32000</v>
      </c>
      <c r="E25" s="92">
        <f t="shared" si="2"/>
        <v>32000</v>
      </c>
      <c r="F25" s="314">
        <v>32000</v>
      </c>
      <c r="G25" s="62">
        <v>0</v>
      </c>
      <c r="H25" s="62">
        <v>0</v>
      </c>
      <c r="I25" s="62">
        <f t="shared" si="1"/>
        <v>32000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394</v>
      </c>
      <c r="B26" s="61" t="s">
        <v>50</v>
      </c>
      <c r="C26" s="273" t="s">
        <v>491</v>
      </c>
      <c r="D26" s="92">
        <v>84000</v>
      </c>
      <c r="E26" s="92">
        <f t="shared" si="2"/>
        <v>84000</v>
      </c>
      <c r="F26" s="314">
        <f>59763.6+6308</f>
        <v>66071.6</v>
      </c>
      <c r="G26" s="62">
        <v>0</v>
      </c>
      <c r="H26" s="62">
        <v>0</v>
      </c>
      <c r="I26" s="62">
        <f t="shared" si="1"/>
        <v>66071.6</v>
      </c>
      <c r="J26" s="62">
        <f t="shared" si="4"/>
        <v>17928.399999999994</v>
      </c>
      <c r="K26" s="62">
        <f t="shared" si="5"/>
        <v>17928.399999999994</v>
      </c>
    </row>
    <row r="27" spans="1:14" s="21" customFormat="1" ht="30" customHeight="1">
      <c r="A27" s="60" t="s">
        <v>395</v>
      </c>
      <c r="B27" s="61" t="s">
        <v>50</v>
      </c>
      <c r="C27" s="273" t="s">
        <v>492</v>
      </c>
      <c r="D27" s="92">
        <v>17800</v>
      </c>
      <c r="E27" s="92">
        <f>D27</f>
        <v>17800</v>
      </c>
      <c r="F27" s="314">
        <f>9115</f>
        <v>9115</v>
      </c>
      <c r="G27" s="62">
        <v>0</v>
      </c>
      <c r="H27" s="62">
        <v>0</v>
      </c>
      <c r="I27" s="62">
        <f t="shared" si="1"/>
        <v>9115</v>
      </c>
      <c r="J27" s="62">
        <f t="shared" si="4"/>
        <v>8685</v>
      </c>
      <c r="K27" s="62">
        <f t="shared" si="5"/>
        <v>8685</v>
      </c>
      <c r="N27" s="247"/>
    </row>
    <row r="28" spans="1:15" s="59" customFormat="1" ht="24.75" customHeight="1">
      <c r="A28" s="264" t="s">
        <v>277</v>
      </c>
      <c r="B28" s="70"/>
      <c r="C28" s="86" t="s">
        <v>493</v>
      </c>
      <c r="D28" s="102">
        <f>D18+D22+D23+D26+D27+D20+D24+D25</f>
        <v>542212.61</v>
      </c>
      <c r="E28" s="102">
        <f>E18+E22+E23+E26+E27+E20+E24+E25</f>
        <v>542212.61</v>
      </c>
      <c r="F28" s="317">
        <f>F18+F22+F23+F26+F27+F20+F25+F24</f>
        <v>449179.31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417179.31</v>
      </c>
      <c r="J28" s="102">
        <f>J18+J22+J23+J26+J27+J21+J20</f>
        <v>89033.29999999999</v>
      </c>
      <c r="K28" s="102">
        <f>D28-F28</f>
        <v>93033.29999999999</v>
      </c>
      <c r="O28" s="246"/>
    </row>
    <row r="29" spans="1:11" s="59" customFormat="1" ht="21.75" customHeight="1">
      <c r="A29" s="272" t="s">
        <v>214</v>
      </c>
      <c r="B29" s="256"/>
      <c r="C29" s="257" t="s">
        <v>494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16840</v>
      </c>
      <c r="G29" s="258">
        <f t="shared" si="6"/>
        <v>0</v>
      </c>
      <c r="H29" s="258">
        <f t="shared" si="6"/>
        <v>0</v>
      </c>
      <c r="I29" s="258">
        <f t="shared" si="6"/>
        <v>16840</v>
      </c>
      <c r="J29" s="258">
        <f t="shared" si="6"/>
        <v>4000</v>
      </c>
      <c r="K29" s="258">
        <f t="shared" si="6"/>
        <v>4000</v>
      </c>
    </row>
    <row r="30" spans="1:11" s="21" customFormat="1" ht="17.25" customHeight="1">
      <c r="A30" s="82" t="s">
        <v>372</v>
      </c>
      <c r="B30" s="61" t="s">
        <v>50</v>
      </c>
      <c r="C30" s="273" t="s">
        <v>495</v>
      </c>
      <c r="D30" s="92">
        <v>20000</v>
      </c>
      <c r="E30" s="92">
        <f>D30</f>
        <v>20000</v>
      </c>
      <c r="F30" s="314">
        <f>10000+6000</f>
        <v>16000</v>
      </c>
      <c r="G30" s="62">
        <v>0</v>
      </c>
      <c r="H30" s="62">
        <v>0</v>
      </c>
      <c r="I30" s="62">
        <f aca="true" t="shared" si="7" ref="I30:I38">SUM(F30:H30)</f>
        <v>16000</v>
      </c>
      <c r="J30" s="62">
        <f>D30-F30</f>
        <v>4000</v>
      </c>
      <c r="K30" s="62">
        <f>E30-F30</f>
        <v>4000</v>
      </c>
    </row>
    <row r="31" spans="1:11" s="21" customFormat="1" ht="22.5" customHeight="1">
      <c r="A31" s="82" t="s">
        <v>108</v>
      </c>
      <c r="B31" s="61" t="s">
        <v>50</v>
      </c>
      <c r="C31" s="273" t="s">
        <v>496</v>
      </c>
      <c r="D31" s="92">
        <v>840</v>
      </c>
      <c r="E31" s="92">
        <f>D31</f>
        <v>840</v>
      </c>
      <c r="F31" s="314">
        <f>420+420</f>
        <v>840</v>
      </c>
      <c r="G31" s="62">
        <v>0</v>
      </c>
      <c r="H31" s="62">
        <v>0</v>
      </c>
      <c r="I31" s="62">
        <f t="shared" si="7"/>
        <v>840</v>
      </c>
      <c r="J31" s="62">
        <f>D31-F31</f>
        <v>0</v>
      </c>
      <c r="K31" s="62">
        <f>E31-F31</f>
        <v>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386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277</v>
      </c>
      <c r="B33" s="231"/>
      <c r="C33" s="263" t="s">
        <v>436</v>
      </c>
      <c r="D33" s="211">
        <f>D15+D16+D28+D29</f>
        <v>1102582.6099999999</v>
      </c>
      <c r="E33" s="211">
        <f>E15+E16+E28+E29</f>
        <v>1102582.6099999999</v>
      </c>
      <c r="F33" s="313">
        <f aca="true" t="shared" si="8" ref="F33:K33">F15+F16+F28+F29</f>
        <v>930685.6199999999</v>
      </c>
      <c r="G33" s="211">
        <f t="shared" si="8"/>
        <v>0</v>
      </c>
      <c r="H33" s="211">
        <f t="shared" si="8"/>
        <v>0</v>
      </c>
      <c r="I33" s="211">
        <f t="shared" si="8"/>
        <v>898685.6199999999</v>
      </c>
      <c r="J33" s="211">
        <f t="shared" si="8"/>
        <v>167896.99000000008</v>
      </c>
      <c r="K33" s="211">
        <f t="shared" si="8"/>
        <v>171896.99000000008</v>
      </c>
    </row>
    <row r="34" spans="1:11" s="21" customFormat="1" ht="29.25" customHeight="1">
      <c r="A34" s="266" t="s">
        <v>381</v>
      </c>
      <c r="B34" s="231"/>
      <c r="C34" s="257" t="s">
        <v>497</v>
      </c>
      <c r="D34" s="211">
        <f>D35+D36</f>
        <v>5000</v>
      </c>
      <c r="E34" s="211">
        <f>D34</f>
        <v>5000</v>
      </c>
      <c r="F34" s="313">
        <f>F35+F36</f>
        <v>4744.06</v>
      </c>
      <c r="G34" s="211">
        <f>G35</f>
        <v>0</v>
      </c>
      <c r="H34" s="211">
        <f>H35</f>
        <v>0</v>
      </c>
      <c r="I34" s="211">
        <f t="shared" si="7"/>
        <v>4744.06</v>
      </c>
      <c r="J34" s="211">
        <f>J35</f>
        <v>0</v>
      </c>
      <c r="K34" s="211">
        <f>K35</f>
        <v>0</v>
      </c>
    </row>
    <row r="35" spans="1:11" s="21" customFormat="1" ht="22.5" customHeight="1">
      <c r="A35" s="60" t="s">
        <v>56</v>
      </c>
      <c r="B35" s="61" t="s">
        <v>50</v>
      </c>
      <c r="C35" s="273" t="s">
        <v>498</v>
      </c>
      <c r="D35" s="92">
        <f>1600</f>
        <v>1600</v>
      </c>
      <c r="E35" s="92">
        <f>D35</f>
        <v>1600</v>
      </c>
      <c r="F35" s="314">
        <v>1600</v>
      </c>
      <c r="G35" s="62"/>
      <c r="H35" s="62"/>
      <c r="I35" s="62">
        <f t="shared" si="7"/>
        <v>1600</v>
      </c>
      <c r="J35" s="62">
        <f>D35-F35</f>
        <v>0</v>
      </c>
      <c r="K35" s="62">
        <f>E35-F35</f>
        <v>0</v>
      </c>
    </row>
    <row r="36" spans="1:11" s="21" customFormat="1" ht="22.5" customHeight="1">
      <c r="A36" s="60" t="s">
        <v>56</v>
      </c>
      <c r="B36" s="61" t="s">
        <v>50</v>
      </c>
      <c r="C36" s="273" t="s">
        <v>499</v>
      </c>
      <c r="D36" s="92">
        <v>3400</v>
      </c>
      <c r="E36" s="92">
        <f>D36</f>
        <v>3400</v>
      </c>
      <c r="F36" s="314">
        <f>1768.66+1375.4</f>
        <v>3144.0600000000004</v>
      </c>
      <c r="G36" s="62"/>
      <c r="H36" s="62"/>
      <c r="I36" s="62">
        <f t="shared" si="7"/>
        <v>3144.0600000000004</v>
      </c>
      <c r="J36" s="62"/>
      <c r="K36" s="62">
        <f>E36-F36</f>
        <v>255.9399999999996</v>
      </c>
    </row>
    <row r="37" spans="1:11" s="21" customFormat="1" ht="18" customHeight="1">
      <c r="A37" s="266" t="s">
        <v>370</v>
      </c>
      <c r="B37" s="231"/>
      <c r="C37" s="257" t="s">
        <v>500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5000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0</v>
      </c>
    </row>
    <row r="38" spans="1:11" s="21" customFormat="1" ht="22.5" customHeight="1">
      <c r="A38" s="82" t="s">
        <v>371</v>
      </c>
      <c r="B38" s="61" t="s">
        <v>50</v>
      </c>
      <c r="C38" s="273" t="s">
        <v>501</v>
      </c>
      <c r="D38" s="92">
        <v>5000</v>
      </c>
      <c r="E38" s="92">
        <f>D38</f>
        <v>5000</v>
      </c>
      <c r="F38" s="314">
        <v>5000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1" t="s">
        <v>262</v>
      </c>
      <c r="B39" s="212"/>
      <c r="C39" s="213" t="s">
        <v>93</v>
      </c>
      <c r="D39" s="214">
        <f>D8+D12+D29+D34+D38</f>
        <v>1715994.9999999998</v>
      </c>
      <c r="E39" s="214">
        <f aca="true" t="shared" si="10" ref="E39:M39">E8+E12+E29+E34+E38</f>
        <v>1715994.9999999998</v>
      </c>
      <c r="F39" s="313">
        <f t="shared" si="10"/>
        <v>1398687.99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285883.30000000005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269</v>
      </c>
      <c r="B40" s="61"/>
      <c r="C40" s="100" t="s">
        <v>502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219</v>
      </c>
      <c r="B41" s="61" t="s">
        <v>50</v>
      </c>
      <c r="C41" s="273" t="s">
        <v>503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387</v>
      </c>
      <c r="B42" s="61"/>
      <c r="C42" s="198" t="s">
        <v>504</v>
      </c>
      <c r="D42" s="65">
        <f>D43</f>
        <v>300</v>
      </c>
      <c r="E42" s="65">
        <f>D42</f>
        <v>300</v>
      </c>
      <c r="F42" s="318">
        <f>F43</f>
        <v>300</v>
      </c>
      <c r="G42" s="87"/>
      <c r="H42" s="87"/>
      <c r="I42" s="87">
        <f>SUM(F42:H42)</f>
        <v>300</v>
      </c>
      <c r="J42" s="87">
        <f>D42-F42</f>
        <v>0</v>
      </c>
      <c r="K42" s="87">
        <f>E42-F42</f>
        <v>0</v>
      </c>
    </row>
    <row r="43" spans="1:11" s="21" customFormat="1" ht="28.5" customHeight="1">
      <c r="A43" s="89" t="s">
        <v>219</v>
      </c>
      <c r="B43" s="61" t="s">
        <v>50</v>
      </c>
      <c r="C43" s="273" t="s">
        <v>505</v>
      </c>
      <c r="D43" s="92">
        <v>300</v>
      </c>
      <c r="E43" s="92">
        <f>D43</f>
        <v>300</v>
      </c>
      <c r="F43" s="314">
        <v>300</v>
      </c>
      <c r="G43" s="62"/>
      <c r="H43" s="62"/>
      <c r="I43" s="62">
        <f>SUM(F43:H43)</f>
        <v>300</v>
      </c>
      <c r="J43" s="62">
        <f>D43-F43</f>
        <v>0</v>
      </c>
      <c r="K43" s="62">
        <f>E43-F43</f>
        <v>0</v>
      </c>
    </row>
    <row r="44" spans="1:13" s="21" customFormat="1" ht="40.5" customHeight="1">
      <c r="A44" s="221" t="s">
        <v>192</v>
      </c>
      <c r="B44" s="215"/>
      <c r="C44" s="216" t="s">
        <v>191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2300</v>
      </c>
      <c r="G44" s="214">
        <f t="shared" si="12"/>
        <v>0</v>
      </c>
      <c r="H44" s="214">
        <f t="shared" si="12"/>
        <v>0</v>
      </c>
      <c r="I44" s="214">
        <f t="shared" si="12"/>
        <v>2300</v>
      </c>
      <c r="J44" s="214">
        <f t="shared" si="12"/>
        <v>0</v>
      </c>
      <c r="K44" s="214">
        <f t="shared" si="12"/>
        <v>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204</v>
      </c>
      <c r="B45" s="63"/>
      <c r="C45" s="200" t="s">
        <v>389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371</v>
      </c>
      <c r="B46" s="63"/>
      <c r="C46" s="273" t="s">
        <v>410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390</v>
      </c>
      <c r="B47" s="63"/>
      <c r="C47" s="273" t="s">
        <v>410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388</v>
      </c>
      <c r="B48" s="215"/>
      <c r="C48" s="216" t="s">
        <v>205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270</v>
      </c>
      <c r="B49" s="63"/>
      <c r="C49" s="80" t="s">
        <v>506</v>
      </c>
      <c r="D49" s="65">
        <f aca="true" t="shared" si="14" ref="D49:K49">D50+D51</f>
        <v>21000</v>
      </c>
      <c r="E49" s="65">
        <f t="shared" si="14"/>
        <v>21000</v>
      </c>
      <c r="F49" s="313">
        <f t="shared" si="14"/>
        <v>9500</v>
      </c>
      <c r="G49" s="65">
        <f t="shared" si="14"/>
        <v>0</v>
      </c>
      <c r="H49" s="65">
        <f t="shared" si="14"/>
        <v>0</v>
      </c>
      <c r="I49" s="65">
        <f t="shared" si="14"/>
        <v>9500</v>
      </c>
      <c r="J49" s="65">
        <f t="shared" si="14"/>
        <v>11500</v>
      </c>
      <c r="K49" s="65">
        <f t="shared" si="14"/>
        <v>11500</v>
      </c>
    </row>
    <row r="50" spans="1:11" s="21" customFormat="1" ht="16.5" customHeight="1">
      <c r="A50" s="82" t="s">
        <v>56</v>
      </c>
      <c r="B50" s="61">
        <v>200</v>
      </c>
      <c r="C50" s="273" t="s">
        <v>507</v>
      </c>
      <c r="D50" s="92">
        <v>21000</v>
      </c>
      <c r="E50" s="92">
        <f>D50</f>
        <v>21000</v>
      </c>
      <c r="F50" s="315">
        <v>9500</v>
      </c>
      <c r="G50" s="92">
        <v>0</v>
      </c>
      <c r="H50" s="92">
        <v>0</v>
      </c>
      <c r="I50" s="92">
        <f>F50+G50+H50</f>
        <v>9500</v>
      </c>
      <c r="J50" s="92">
        <f>D50-F50</f>
        <v>11500</v>
      </c>
      <c r="K50" s="92">
        <f>E50-F50</f>
        <v>11500</v>
      </c>
    </row>
    <row r="51" spans="1:11" s="21" customFormat="1" ht="16.5" customHeight="1" hidden="1">
      <c r="A51" s="101" t="s">
        <v>371</v>
      </c>
      <c r="B51" s="61" t="s">
        <v>50</v>
      </c>
      <c r="C51" s="80" t="s">
        <v>449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372</v>
      </c>
      <c r="B52" s="61" t="s">
        <v>50</v>
      </c>
      <c r="C52" s="273" t="s">
        <v>452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183</v>
      </c>
      <c r="B53" s="63"/>
      <c r="C53" s="80" t="s">
        <v>379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373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271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187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382</v>
      </c>
      <c r="B57" s="61"/>
      <c r="C57" s="80" t="s">
        <v>383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371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372</v>
      </c>
      <c r="B59" s="61" t="s">
        <v>50</v>
      </c>
      <c r="C59" s="273" t="s">
        <v>385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181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182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207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272</v>
      </c>
      <c r="B63" s="61"/>
      <c r="C63" s="80" t="s">
        <v>508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500</v>
      </c>
      <c r="G63" s="79">
        <f t="shared" si="17"/>
        <v>0</v>
      </c>
      <c r="H63" s="79">
        <f t="shared" si="17"/>
        <v>0</v>
      </c>
      <c r="I63" s="79">
        <f t="shared" si="17"/>
        <v>500</v>
      </c>
      <c r="J63" s="79">
        <f t="shared" si="17"/>
        <v>0</v>
      </c>
      <c r="K63" s="79">
        <f t="shared" si="17"/>
        <v>0</v>
      </c>
    </row>
    <row r="64" spans="1:11" s="21" customFormat="1" ht="30.75" customHeight="1">
      <c r="A64" s="89" t="s">
        <v>219</v>
      </c>
      <c r="B64" s="61" t="s">
        <v>50</v>
      </c>
      <c r="C64" s="273" t="s">
        <v>509</v>
      </c>
      <c r="D64" s="92">
        <f>500</f>
        <v>500</v>
      </c>
      <c r="E64" s="92">
        <f>D64</f>
        <v>500</v>
      </c>
      <c r="F64" s="314">
        <v>500</v>
      </c>
      <c r="G64" s="62">
        <v>0</v>
      </c>
      <c r="H64" s="62">
        <v>0</v>
      </c>
      <c r="I64" s="62">
        <f>SUM(F64:H64)</f>
        <v>500</v>
      </c>
      <c r="J64" s="62">
        <f>D64-F64</f>
        <v>0</v>
      </c>
      <c r="K64" s="62">
        <f>E64-F64</f>
        <v>0</v>
      </c>
    </row>
    <row r="65" spans="1:11" s="21" customFormat="1" ht="22.5" customHeight="1">
      <c r="A65" s="322" t="s">
        <v>166</v>
      </c>
      <c r="B65" s="61" t="s">
        <v>50</v>
      </c>
      <c r="C65" s="273" t="s">
        <v>547</v>
      </c>
      <c r="D65" s="92">
        <v>225</v>
      </c>
      <c r="E65" s="92">
        <f>D65</f>
        <v>225</v>
      </c>
      <c r="F65" s="314">
        <v>225</v>
      </c>
      <c r="G65" s="62"/>
      <c r="H65" s="62"/>
      <c r="I65" s="62">
        <f>SUM(F65:H65)</f>
        <v>225</v>
      </c>
      <c r="J65" s="62">
        <f>D65-F65</f>
        <v>0</v>
      </c>
      <c r="K65" s="62">
        <f>E65-F65</f>
        <v>0</v>
      </c>
    </row>
    <row r="66" spans="1:11" s="21" customFormat="1" ht="29.25" customHeight="1">
      <c r="A66" s="232" t="s">
        <v>475</v>
      </c>
      <c r="B66" s="218"/>
      <c r="C66" s="228" t="s">
        <v>151</v>
      </c>
      <c r="D66" s="211">
        <f aca="true" t="shared" si="18" ref="D66:K66">D53+D57+D63+D49+D65</f>
        <v>21725</v>
      </c>
      <c r="E66" s="211">
        <f t="shared" si="18"/>
        <v>21725</v>
      </c>
      <c r="F66" s="211">
        <f t="shared" si="18"/>
        <v>10225</v>
      </c>
      <c r="G66" s="211">
        <f t="shared" si="18"/>
        <v>0</v>
      </c>
      <c r="H66" s="211">
        <f t="shared" si="18"/>
        <v>0</v>
      </c>
      <c r="I66" s="211">
        <f t="shared" si="18"/>
        <v>10225</v>
      </c>
      <c r="J66" s="211">
        <f t="shared" si="18"/>
        <v>11500</v>
      </c>
      <c r="K66" s="211">
        <f t="shared" si="18"/>
        <v>11500</v>
      </c>
    </row>
    <row r="67" spans="1:13" s="21" customFormat="1" ht="25.5" customHeight="1">
      <c r="A67" s="267" t="s">
        <v>263</v>
      </c>
      <c r="B67" s="218"/>
      <c r="C67" s="210" t="s">
        <v>251</v>
      </c>
      <c r="D67" s="211">
        <f aca="true" t="shared" si="19" ref="D67:M67">D39+D44+D66+D48</f>
        <v>1740019.9999999998</v>
      </c>
      <c r="E67" s="211">
        <f t="shared" si="19"/>
        <v>1740019.9999999998</v>
      </c>
      <c r="F67" s="211">
        <f t="shared" si="19"/>
        <v>1411212.99</v>
      </c>
      <c r="G67" s="211" t="e">
        <f t="shared" si="19"/>
        <v>#REF!</v>
      </c>
      <c r="H67" s="211" t="e">
        <f t="shared" si="19"/>
        <v>#REF!</v>
      </c>
      <c r="I67" s="211" t="e">
        <f t="shared" si="19"/>
        <v>#REF!</v>
      </c>
      <c r="J67" s="211" t="e">
        <f t="shared" si="19"/>
        <v>#REF!</v>
      </c>
      <c r="K67" s="211">
        <f t="shared" si="19"/>
        <v>297383.30000000005</v>
      </c>
      <c r="L67" s="65">
        <f t="shared" si="19"/>
        <v>0</v>
      </c>
      <c r="M67" s="65">
        <f t="shared" si="19"/>
        <v>0</v>
      </c>
    </row>
    <row r="68" spans="1:15" s="59" customFormat="1" ht="43.5" customHeight="1">
      <c r="A68" s="95" t="s">
        <v>208</v>
      </c>
      <c r="B68" s="70"/>
      <c r="C68" s="80" t="s">
        <v>510</v>
      </c>
      <c r="D68" s="79">
        <f>D69+D70+D72+D75</f>
        <v>114948.95999999999</v>
      </c>
      <c r="E68" s="79">
        <f aca="true" t="shared" si="20" ref="E68:K68">E69+E70+E72+E75</f>
        <v>114948.95999999999</v>
      </c>
      <c r="F68" s="316">
        <f>F69+F70+F72+F75</f>
        <v>91829.70999999999</v>
      </c>
      <c r="G68" s="79">
        <f t="shared" si="20"/>
        <v>0</v>
      </c>
      <c r="H68" s="79">
        <f t="shared" si="20"/>
        <v>0</v>
      </c>
      <c r="I68" s="79">
        <f t="shared" si="20"/>
        <v>91829.70999999999</v>
      </c>
      <c r="J68" s="79">
        <f t="shared" si="20"/>
        <v>23119.250000000007</v>
      </c>
      <c r="K68" s="79">
        <f t="shared" si="20"/>
        <v>23119.250000000007</v>
      </c>
      <c r="O68" s="246"/>
    </row>
    <row r="69" spans="1:11" s="21" customFormat="1" ht="16.5" customHeight="1">
      <c r="A69" s="60" t="s">
        <v>51</v>
      </c>
      <c r="B69" s="61" t="s">
        <v>50</v>
      </c>
      <c r="C69" s="273" t="s">
        <v>511</v>
      </c>
      <c r="D69" s="92">
        <v>80592</v>
      </c>
      <c r="E69" s="92">
        <f aca="true" t="shared" si="21" ref="E69:E75">D69</f>
        <v>80592</v>
      </c>
      <c r="F69" s="314">
        <f>58590.02+3152.68+349+2500+325+3153.76+520+325+2500</f>
        <v>71415.45999999999</v>
      </c>
      <c r="G69" s="62">
        <v>0</v>
      </c>
      <c r="H69" s="62">
        <v>0</v>
      </c>
      <c r="I69" s="62">
        <f aca="true" t="shared" si="22" ref="I69:I75">SUM(F69:H69)</f>
        <v>71415.45999999999</v>
      </c>
      <c r="J69" s="62">
        <f aca="true" t="shared" si="23" ref="J69:J75">D69-F69</f>
        <v>9176.540000000008</v>
      </c>
      <c r="K69" s="62">
        <f aca="true" t="shared" si="24" ref="K69:K75">E69-F69</f>
        <v>9176.540000000008</v>
      </c>
    </row>
    <row r="70" spans="1:11" s="21" customFormat="1" ht="35.25" customHeight="1">
      <c r="A70" s="201" t="s">
        <v>409</v>
      </c>
      <c r="B70" s="61"/>
      <c r="C70" s="273" t="s">
        <v>541</v>
      </c>
      <c r="D70" s="92">
        <v>0</v>
      </c>
      <c r="E70" s="92">
        <f t="shared" si="21"/>
        <v>0</v>
      </c>
      <c r="F70" s="314">
        <v>0</v>
      </c>
      <c r="G70" s="62"/>
      <c r="H70" s="62"/>
      <c r="I70" s="62">
        <f t="shared" si="22"/>
        <v>0</v>
      </c>
      <c r="J70" s="62">
        <f t="shared" si="23"/>
        <v>0</v>
      </c>
      <c r="K70" s="62">
        <f t="shared" si="24"/>
        <v>0</v>
      </c>
    </row>
    <row r="71" spans="1:11" s="21" customFormat="1" ht="18" customHeight="1">
      <c r="A71" s="201"/>
      <c r="B71" s="61"/>
      <c r="C71" s="273" t="s">
        <v>427</v>
      </c>
      <c r="D71" s="92">
        <f>D69+D70</f>
        <v>80592</v>
      </c>
      <c r="E71" s="92">
        <f aca="true" t="shared" si="25" ref="E71:K71">E69+E70</f>
        <v>80592</v>
      </c>
      <c r="F71" s="315">
        <f t="shared" si="25"/>
        <v>71415.45999999999</v>
      </c>
      <c r="G71" s="92">
        <f t="shared" si="25"/>
        <v>0</v>
      </c>
      <c r="H71" s="92">
        <f t="shared" si="25"/>
        <v>0</v>
      </c>
      <c r="I71" s="92">
        <f t="shared" si="25"/>
        <v>71415.45999999999</v>
      </c>
      <c r="J71" s="92">
        <f t="shared" si="25"/>
        <v>9176.540000000008</v>
      </c>
      <c r="K71" s="92">
        <f t="shared" si="25"/>
        <v>9176.540000000008</v>
      </c>
    </row>
    <row r="72" spans="1:11" s="21" customFormat="1" ht="17.25" customHeight="1">
      <c r="A72" s="60" t="s">
        <v>52</v>
      </c>
      <c r="B72" s="61" t="s">
        <v>50</v>
      </c>
      <c r="C72" s="273" t="s">
        <v>512</v>
      </c>
      <c r="D72" s="92">
        <v>24339</v>
      </c>
      <c r="E72" s="92">
        <f t="shared" si="21"/>
        <v>24339</v>
      </c>
      <c r="F72" s="314">
        <f>16489.32+1949.31+13+1949.62+13</f>
        <v>20414.25</v>
      </c>
      <c r="G72" s="62">
        <v>0</v>
      </c>
      <c r="H72" s="62">
        <v>0</v>
      </c>
      <c r="I72" s="62">
        <f t="shared" si="22"/>
        <v>20414.25</v>
      </c>
      <c r="J72" s="62">
        <f t="shared" si="23"/>
        <v>3924.75</v>
      </c>
      <c r="K72" s="62">
        <f t="shared" si="24"/>
        <v>3924.75</v>
      </c>
    </row>
    <row r="73" spans="1:11" s="21" customFormat="1" ht="15" customHeight="1" hidden="1">
      <c r="A73" s="60" t="s">
        <v>56</v>
      </c>
      <c r="B73" s="61" t="s">
        <v>50</v>
      </c>
      <c r="C73" s="273" t="s">
        <v>164</v>
      </c>
      <c r="D73" s="92">
        <v>0</v>
      </c>
      <c r="E73" s="92">
        <f t="shared" si="21"/>
        <v>0</v>
      </c>
      <c r="F73" s="314"/>
      <c r="G73" s="62">
        <v>0</v>
      </c>
      <c r="H73" s="62">
        <v>0</v>
      </c>
      <c r="I73" s="62">
        <f t="shared" si="22"/>
        <v>0</v>
      </c>
      <c r="J73" s="62">
        <f t="shared" si="23"/>
        <v>0</v>
      </c>
      <c r="K73" s="62">
        <f t="shared" si="24"/>
        <v>0</v>
      </c>
    </row>
    <row r="74" spans="1:11" s="21" customFormat="1" ht="1.5" customHeight="1">
      <c r="A74" s="60" t="s">
        <v>150</v>
      </c>
      <c r="B74" s="61" t="s">
        <v>50</v>
      </c>
      <c r="C74" s="273" t="s">
        <v>513</v>
      </c>
      <c r="D74" s="92">
        <v>0</v>
      </c>
      <c r="E74" s="92">
        <f t="shared" si="21"/>
        <v>0</v>
      </c>
      <c r="F74" s="314"/>
      <c r="G74" s="62">
        <v>0</v>
      </c>
      <c r="H74" s="62">
        <v>0</v>
      </c>
      <c r="I74" s="62">
        <f t="shared" si="22"/>
        <v>0</v>
      </c>
      <c r="J74" s="62">
        <f t="shared" si="23"/>
        <v>0</v>
      </c>
      <c r="K74" s="62">
        <f t="shared" si="24"/>
        <v>0</v>
      </c>
    </row>
    <row r="75" spans="1:11" s="21" customFormat="1" ht="18.75" customHeight="1">
      <c r="A75" s="60" t="s">
        <v>58</v>
      </c>
      <c r="B75" s="61" t="s">
        <v>50</v>
      </c>
      <c r="C75" s="273" t="s">
        <v>514</v>
      </c>
      <c r="D75" s="92">
        <v>10017.96</v>
      </c>
      <c r="E75" s="92">
        <f t="shared" si="21"/>
        <v>10017.96</v>
      </c>
      <c r="F75" s="314"/>
      <c r="G75" s="62">
        <v>0</v>
      </c>
      <c r="H75" s="62">
        <v>0</v>
      </c>
      <c r="I75" s="62">
        <f t="shared" si="22"/>
        <v>0</v>
      </c>
      <c r="J75" s="62">
        <f t="shared" si="23"/>
        <v>10017.96</v>
      </c>
      <c r="K75" s="62">
        <f t="shared" si="24"/>
        <v>10017.96</v>
      </c>
    </row>
    <row r="76" spans="1:11" s="21" customFormat="1" ht="16.5" customHeight="1" hidden="1">
      <c r="A76" s="227" t="s">
        <v>264</v>
      </c>
      <c r="B76" s="218"/>
      <c r="C76" s="228" t="s">
        <v>89</v>
      </c>
      <c r="D76" s="211">
        <f>D69+D70+D72+D75</f>
        <v>114948.95999999999</v>
      </c>
      <c r="E76" s="211">
        <f aca="true" t="shared" si="26" ref="E76:K76">E69+E70+E72+E75</f>
        <v>114948.95999999999</v>
      </c>
      <c r="F76" s="313">
        <f t="shared" si="26"/>
        <v>91829.70999999999</v>
      </c>
      <c r="G76" s="211">
        <f t="shared" si="26"/>
        <v>0</v>
      </c>
      <c r="H76" s="211">
        <f t="shared" si="26"/>
        <v>0</v>
      </c>
      <c r="I76" s="211">
        <f t="shared" si="26"/>
        <v>91829.70999999999</v>
      </c>
      <c r="J76" s="211">
        <f t="shared" si="26"/>
        <v>23119.250000000007</v>
      </c>
      <c r="K76" s="211">
        <f t="shared" si="26"/>
        <v>23119.250000000007</v>
      </c>
    </row>
    <row r="77" spans="1:11" s="21" customFormat="1" ht="46.5" customHeight="1" hidden="1">
      <c r="A77" s="95" t="s">
        <v>203</v>
      </c>
      <c r="B77" s="61"/>
      <c r="C77" s="100" t="s">
        <v>202</v>
      </c>
      <c r="D77" s="79">
        <f aca="true" t="shared" si="27" ref="D77:K77">SUM(D78:D78)</f>
        <v>0</v>
      </c>
      <c r="E77" s="79">
        <f t="shared" si="27"/>
        <v>0</v>
      </c>
      <c r="F77" s="316">
        <f t="shared" si="27"/>
        <v>0</v>
      </c>
      <c r="G77" s="79">
        <f t="shared" si="27"/>
        <v>0</v>
      </c>
      <c r="H77" s="79">
        <f t="shared" si="27"/>
        <v>0</v>
      </c>
      <c r="I77" s="79">
        <f t="shared" si="27"/>
        <v>0</v>
      </c>
      <c r="J77" s="79">
        <f t="shared" si="27"/>
        <v>0</v>
      </c>
      <c r="K77" s="79">
        <f t="shared" si="27"/>
        <v>0</v>
      </c>
    </row>
    <row r="78" spans="1:11" s="21" customFormat="1" ht="21.75" customHeight="1" hidden="1">
      <c r="A78" s="89" t="s">
        <v>166</v>
      </c>
      <c r="B78" s="61">
        <v>200</v>
      </c>
      <c r="C78" s="273" t="s">
        <v>215</v>
      </c>
      <c r="D78" s="92">
        <v>0</v>
      </c>
      <c r="E78" s="92">
        <f>D78</f>
        <v>0</v>
      </c>
      <c r="F78" s="314">
        <v>0</v>
      </c>
      <c r="G78" s="62">
        <v>0</v>
      </c>
      <c r="H78" s="62">
        <v>0</v>
      </c>
      <c r="I78" s="62">
        <f>SUM(F78:H78)</f>
        <v>0</v>
      </c>
      <c r="J78" s="62">
        <f>D78-F78</f>
        <v>0</v>
      </c>
      <c r="K78" s="62">
        <f>E78-F78</f>
        <v>0</v>
      </c>
    </row>
    <row r="79" spans="1:11" s="21" customFormat="1" ht="30" customHeight="1" hidden="1">
      <c r="A79" s="268" t="s">
        <v>156</v>
      </c>
      <c r="B79" s="63"/>
      <c r="C79" s="64" t="s">
        <v>157</v>
      </c>
      <c r="D79" s="65">
        <f aca="true" t="shared" si="28" ref="D79:K79">D78</f>
        <v>0</v>
      </c>
      <c r="E79" s="65">
        <f t="shared" si="28"/>
        <v>0</v>
      </c>
      <c r="F79" s="313">
        <f>F77</f>
        <v>0</v>
      </c>
      <c r="G79" s="65">
        <f t="shared" si="28"/>
        <v>0</v>
      </c>
      <c r="H79" s="65">
        <f t="shared" si="28"/>
        <v>0</v>
      </c>
      <c r="I79" s="65">
        <f t="shared" si="28"/>
        <v>0</v>
      </c>
      <c r="J79" s="65">
        <f t="shared" si="28"/>
        <v>0</v>
      </c>
      <c r="K79" s="65">
        <f t="shared" si="28"/>
        <v>0</v>
      </c>
    </row>
    <row r="80" spans="1:11" s="21" customFormat="1" ht="30" customHeight="1">
      <c r="A80" s="232" t="s">
        <v>253</v>
      </c>
      <c r="B80" s="218"/>
      <c r="C80" s="210" t="s">
        <v>252</v>
      </c>
      <c r="D80" s="211">
        <f aca="true" t="shared" si="29" ref="D80:I80">D76</f>
        <v>114948.95999999999</v>
      </c>
      <c r="E80" s="211">
        <f t="shared" si="29"/>
        <v>114948.95999999999</v>
      </c>
      <c r="F80" s="313">
        <f t="shared" si="29"/>
        <v>91829.70999999999</v>
      </c>
      <c r="G80" s="211">
        <f t="shared" si="29"/>
        <v>0</v>
      </c>
      <c r="H80" s="211">
        <f t="shared" si="29"/>
        <v>0</v>
      </c>
      <c r="I80" s="211">
        <f t="shared" si="29"/>
        <v>91829.70999999999</v>
      </c>
      <c r="J80" s="211">
        <f>D80-F80</f>
        <v>23119.25</v>
      </c>
      <c r="K80" s="211">
        <f>E80-F80</f>
        <v>23119.25</v>
      </c>
    </row>
    <row r="81" spans="1:11" s="59" customFormat="1" ht="19.5" customHeight="1">
      <c r="A81" s="95" t="s">
        <v>209</v>
      </c>
      <c r="B81" s="70"/>
      <c r="C81" s="80" t="s">
        <v>515</v>
      </c>
      <c r="D81" s="79">
        <f>SUM(D82:D85)</f>
        <v>25000</v>
      </c>
      <c r="E81" s="79">
        <f>SUM(E82:E85)</f>
        <v>25000</v>
      </c>
      <c r="F81" s="316">
        <f>F83+F84+F85</f>
        <v>24953.07</v>
      </c>
      <c r="G81" s="79">
        <f>SUM(G82:G85)</f>
        <v>0</v>
      </c>
      <c r="H81" s="79">
        <f>SUM(H82:H85)</f>
        <v>0</v>
      </c>
      <c r="I81" s="79">
        <f>SUM(I83:I85)</f>
        <v>24953.07</v>
      </c>
      <c r="J81" s="79">
        <f>SUM(J82:J85)</f>
        <v>46.93000000000029</v>
      </c>
      <c r="K81" s="79">
        <f>SUM(K82:K85)</f>
        <v>46.93000000000029</v>
      </c>
    </row>
    <row r="82" spans="1:11" s="59" customFormat="1" ht="16.5" customHeight="1" hidden="1">
      <c r="A82" s="60" t="s">
        <v>167</v>
      </c>
      <c r="B82" s="88" t="s">
        <v>50</v>
      </c>
      <c r="C82" s="275" t="s">
        <v>210</v>
      </c>
      <c r="D82" s="92">
        <v>0</v>
      </c>
      <c r="E82" s="92">
        <f>D82</f>
        <v>0</v>
      </c>
      <c r="F82" s="314">
        <v>0</v>
      </c>
      <c r="G82" s="62"/>
      <c r="H82" s="62"/>
      <c r="I82" s="62">
        <f>SUM(F82:H82)</f>
        <v>0</v>
      </c>
      <c r="J82" s="62">
        <f>D82-F82</f>
        <v>0</v>
      </c>
      <c r="K82" s="62">
        <f>E82-F82</f>
        <v>0</v>
      </c>
    </row>
    <row r="83" spans="1:11" s="21" customFormat="1" ht="16.5" customHeight="1">
      <c r="A83" s="60" t="s">
        <v>56</v>
      </c>
      <c r="B83" s="61" t="s">
        <v>50</v>
      </c>
      <c r="C83" s="273" t="s">
        <v>516</v>
      </c>
      <c r="D83" s="92">
        <v>25000</v>
      </c>
      <c r="E83" s="92">
        <f>D83</f>
        <v>25000</v>
      </c>
      <c r="F83" s="314">
        <v>24953.07</v>
      </c>
      <c r="G83" s="62">
        <v>0</v>
      </c>
      <c r="H83" s="62">
        <v>0</v>
      </c>
      <c r="I83" s="62">
        <f>SUM(F83:H83)</f>
        <v>24953.07</v>
      </c>
      <c r="J83" s="62">
        <f>D83-F83</f>
        <v>46.93000000000029</v>
      </c>
      <c r="K83" s="62">
        <f>E83-F83</f>
        <v>46.93000000000029</v>
      </c>
    </row>
    <row r="84" spans="1:11" s="21" customFormat="1" ht="16.5" customHeight="1" hidden="1">
      <c r="A84" s="60" t="s">
        <v>179</v>
      </c>
      <c r="B84" s="61" t="s">
        <v>50</v>
      </c>
      <c r="C84" s="273" t="s">
        <v>273</v>
      </c>
      <c r="D84" s="92">
        <v>0</v>
      </c>
      <c r="E84" s="92">
        <f>D84</f>
        <v>0</v>
      </c>
      <c r="F84" s="314"/>
      <c r="G84" s="62">
        <v>0</v>
      </c>
      <c r="H84" s="62">
        <v>0</v>
      </c>
      <c r="I84" s="62">
        <f aca="true" t="shared" si="30" ref="I84:I112">SUM(F84:H84)</f>
        <v>0</v>
      </c>
      <c r="J84" s="62">
        <f>D84-F84</f>
        <v>0</v>
      </c>
      <c r="K84" s="62">
        <f>E84-F84</f>
        <v>0</v>
      </c>
    </row>
    <row r="85" spans="1:11" s="21" customFormat="1" ht="18" customHeight="1">
      <c r="A85" s="60" t="s">
        <v>58</v>
      </c>
      <c r="B85" s="61" t="s">
        <v>50</v>
      </c>
      <c r="C85" s="273" t="s">
        <v>517</v>
      </c>
      <c r="D85" s="92"/>
      <c r="E85" s="92">
        <f>D85</f>
        <v>0</v>
      </c>
      <c r="F85" s="314"/>
      <c r="G85" s="62">
        <v>0</v>
      </c>
      <c r="H85" s="62">
        <v>0</v>
      </c>
      <c r="I85" s="62">
        <f t="shared" si="30"/>
        <v>0</v>
      </c>
      <c r="J85" s="62">
        <f>D85-F85</f>
        <v>0</v>
      </c>
      <c r="K85" s="62">
        <f>E85-F85</f>
        <v>0</v>
      </c>
    </row>
    <row r="86" spans="1:11" s="21" customFormat="1" ht="17.25" customHeight="1">
      <c r="A86" s="232" t="s">
        <v>474</v>
      </c>
      <c r="B86" s="218"/>
      <c r="C86" s="228" t="s">
        <v>90</v>
      </c>
      <c r="D86" s="211">
        <f>D81</f>
        <v>25000</v>
      </c>
      <c r="E86" s="211">
        <f aca="true" t="shared" si="31" ref="E86:K86">E81</f>
        <v>25000</v>
      </c>
      <c r="F86" s="313">
        <f>F81</f>
        <v>24953.07</v>
      </c>
      <c r="G86" s="211">
        <f t="shared" si="31"/>
        <v>0</v>
      </c>
      <c r="H86" s="211">
        <f t="shared" si="31"/>
        <v>0</v>
      </c>
      <c r="I86" s="229">
        <f t="shared" si="30"/>
        <v>24953.07</v>
      </c>
      <c r="J86" s="211">
        <f t="shared" si="31"/>
        <v>46.93000000000029</v>
      </c>
      <c r="K86" s="211">
        <f t="shared" si="31"/>
        <v>46.93000000000029</v>
      </c>
    </row>
    <row r="87" spans="1:11" s="59" customFormat="1" ht="0.75" customHeight="1">
      <c r="A87" s="95" t="s">
        <v>172</v>
      </c>
      <c r="B87" s="90"/>
      <c r="C87" s="80" t="s">
        <v>173</v>
      </c>
      <c r="D87" s="79">
        <f>SUM(D88:D88)</f>
        <v>0</v>
      </c>
      <c r="E87" s="79">
        <f aca="true" t="shared" si="32" ref="E87:K87">SUM(E88:E88)</f>
        <v>0</v>
      </c>
      <c r="F87" s="316">
        <f t="shared" si="32"/>
        <v>0</v>
      </c>
      <c r="G87" s="79">
        <f t="shared" si="32"/>
        <v>0</v>
      </c>
      <c r="H87" s="79">
        <f t="shared" si="32"/>
        <v>0</v>
      </c>
      <c r="I87" s="62">
        <f t="shared" si="30"/>
        <v>0</v>
      </c>
      <c r="J87" s="79">
        <f t="shared" si="32"/>
        <v>0</v>
      </c>
      <c r="K87" s="79">
        <f t="shared" si="32"/>
        <v>0</v>
      </c>
    </row>
    <row r="88" spans="1:11" s="21" customFormat="1" ht="66" customHeight="1" hidden="1">
      <c r="A88" s="60" t="s">
        <v>176</v>
      </c>
      <c r="B88" s="61" t="s">
        <v>50</v>
      </c>
      <c r="C88" s="273" t="s">
        <v>174</v>
      </c>
      <c r="D88" s="92">
        <v>0</v>
      </c>
      <c r="E88" s="92">
        <f>D88</f>
        <v>0</v>
      </c>
      <c r="F88" s="314">
        <v>0</v>
      </c>
      <c r="G88" s="62">
        <v>0</v>
      </c>
      <c r="H88" s="62">
        <v>0</v>
      </c>
      <c r="I88" s="62">
        <f t="shared" si="30"/>
        <v>0</v>
      </c>
      <c r="J88" s="62">
        <f>D88-F88</f>
        <v>0</v>
      </c>
      <c r="K88" s="62">
        <f>E88-F88</f>
        <v>0</v>
      </c>
    </row>
    <row r="89" spans="1:11" s="59" customFormat="1" ht="6" customHeight="1" hidden="1">
      <c r="A89" s="95" t="s">
        <v>175</v>
      </c>
      <c r="B89" s="70"/>
      <c r="C89" s="80" t="s">
        <v>116</v>
      </c>
      <c r="D89" s="79">
        <f aca="true" t="shared" si="33" ref="D89:K89">SUM(D90:D90)</f>
        <v>0</v>
      </c>
      <c r="E89" s="79">
        <f t="shared" si="33"/>
        <v>0</v>
      </c>
      <c r="F89" s="316">
        <f t="shared" si="33"/>
        <v>0</v>
      </c>
      <c r="G89" s="79">
        <f t="shared" si="33"/>
        <v>0</v>
      </c>
      <c r="H89" s="79">
        <f t="shared" si="33"/>
        <v>0</v>
      </c>
      <c r="I89" s="62">
        <f t="shared" si="30"/>
        <v>0</v>
      </c>
      <c r="J89" s="79">
        <f t="shared" si="33"/>
        <v>0</v>
      </c>
      <c r="K89" s="79">
        <f t="shared" si="33"/>
        <v>0</v>
      </c>
    </row>
    <row r="90" spans="1:11" s="21" customFormat="1" ht="6" customHeight="1" hidden="1">
      <c r="A90" s="60" t="s">
        <v>176</v>
      </c>
      <c r="B90" s="61" t="s">
        <v>50</v>
      </c>
      <c r="C90" s="273" t="s">
        <v>128</v>
      </c>
      <c r="D90" s="92">
        <f>400-400</f>
        <v>0</v>
      </c>
      <c r="E90" s="92">
        <f>D90</f>
        <v>0</v>
      </c>
      <c r="F90" s="314">
        <v>0</v>
      </c>
      <c r="G90" s="62">
        <v>0</v>
      </c>
      <c r="H90" s="62">
        <v>0</v>
      </c>
      <c r="I90" s="62">
        <f t="shared" si="30"/>
        <v>0</v>
      </c>
      <c r="J90" s="62">
        <f>D90-F90</f>
        <v>0</v>
      </c>
      <c r="K90" s="62">
        <f>E90-F90</f>
        <v>0</v>
      </c>
    </row>
    <row r="91" spans="1:11" s="21" customFormat="1" ht="6" customHeight="1" hidden="1">
      <c r="A91" s="93">
        <v>6</v>
      </c>
      <c r="B91" s="63"/>
      <c r="C91" s="64" t="s">
        <v>94</v>
      </c>
      <c r="D91" s="65">
        <f>D87+D89</f>
        <v>0</v>
      </c>
      <c r="E91" s="65">
        <f aca="true" t="shared" si="34" ref="E91:K91">E87+E89</f>
        <v>0</v>
      </c>
      <c r="F91" s="313">
        <f t="shared" si="34"/>
        <v>0</v>
      </c>
      <c r="G91" s="65">
        <f t="shared" si="34"/>
        <v>0</v>
      </c>
      <c r="H91" s="65">
        <f t="shared" si="34"/>
        <v>0</v>
      </c>
      <c r="I91" s="62">
        <f t="shared" si="30"/>
        <v>0</v>
      </c>
      <c r="J91" s="65">
        <f t="shared" si="34"/>
        <v>0</v>
      </c>
      <c r="K91" s="65">
        <f t="shared" si="34"/>
        <v>0</v>
      </c>
    </row>
    <row r="92" spans="1:11" s="21" customFormat="1" ht="6" customHeight="1" hidden="1">
      <c r="A92" s="60" t="s">
        <v>177</v>
      </c>
      <c r="B92" s="61" t="s">
        <v>50</v>
      </c>
      <c r="C92" s="273" t="s">
        <v>96</v>
      </c>
      <c r="D92" s="92"/>
      <c r="E92" s="92">
        <f>D92</f>
        <v>0</v>
      </c>
      <c r="F92" s="314">
        <v>0</v>
      </c>
      <c r="G92" s="62">
        <v>0</v>
      </c>
      <c r="H92" s="62">
        <v>0</v>
      </c>
      <c r="I92" s="62">
        <f t="shared" si="30"/>
        <v>0</v>
      </c>
      <c r="J92" s="62">
        <f>D92-F92</f>
        <v>0</v>
      </c>
      <c r="K92" s="62">
        <f>E92-F92</f>
        <v>0</v>
      </c>
    </row>
    <row r="93" spans="1:11" s="21" customFormat="1" ht="6" customHeight="1" hidden="1">
      <c r="A93" s="60" t="s">
        <v>55</v>
      </c>
      <c r="B93" s="61" t="s">
        <v>50</v>
      </c>
      <c r="C93" s="273" t="s">
        <v>59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0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95" t="s">
        <v>149</v>
      </c>
      <c r="B94" s="70"/>
      <c r="C94" s="80" t="s">
        <v>141</v>
      </c>
      <c r="D94" s="79">
        <f aca="true" t="shared" si="35" ref="D94:K94">SUM(D95:D96)</f>
        <v>0</v>
      </c>
      <c r="E94" s="79">
        <f t="shared" si="35"/>
        <v>0</v>
      </c>
      <c r="F94" s="316">
        <f t="shared" si="35"/>
        <v>0</v>
      </c>
      <c r="G94" s="79">
        <f t="shared" si="35"/>
        <v>0</v>
      </c>
      <c r="H94" s="79">
        <f t="shared" si="35"/>
        <v>0</v>
      </c>
      <c r="I94" s="62">
        <f t="shared" si="30"/>
        <v>0</v>
      </c>
      <c r="J94" s="79">
        <f t="shared" si="35"/>
        <v>0</v>
      </c>
      <c r="K94" s="79">
        <f t="shared" si="35"/>
        <v>0</v>
      </c>
    </row>
    <row r="95" spans="1:11" s="21" customFormat="1" ht="6" customHeight="1" hidden="1">
      <c r="A95" s="82" t="s">
        <v>144</v>
      </c>
      <c r="B95" s="61" t="s">
        <v>50</v>
      </c>
      <c r="C95" s="273" t="s">
        <v>142</v>
      </c>
      <c r="D95" s="92"/>
      <c r="E95" s="92">
        <f>D95</f>
        <v>0</v>
      </c>
      <c r="F95" s="314"/>
      <c r="G95" s="62">
        <v>0</v>
      </c>
      <c r="H95" s="62">
        <v>0</v>
      </c>
      <c r="I95" s="62">
        <f t="shared" si="30"/>
        <v>0</v>
      </c>
      <c r="J95" s="62">
        <f>D95-F95</f>
        <v>0</v>
      </c>
      <c r="K95" s="62">
        <f>E95-F95</f>
        <v>0</v>
      </c>
    </row>
    <row r="96" spans="1:11" s="21" customFormat="1" ht="6" customHeight="1" hidden="1">
      <c r="A96" s="82" t="s">
        <v>52</v>
      </c>
      <c r="B96" s="61" t="s">
        <v>50</v>
      </c>
      <c r="C96" s="273" t="s">
        <v>143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0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93" t="s">
        <v>145</v>
      </c>
      <c r="B97" s="61"/>
      <c r="C97" s="64" t="s">
        <v>146</v>
      </c>
      <c r="D97" s="65">
        <f aca="true" t="shared" si="36" ref="D97:K97">D95+D96</f>
        <v>0</v>
      </c>
      <c r="E97" s="65">
        <f t="shared" si="36"/>
        <v>0</v>
      </c>
      <c r="F97" s="313">
        <f t="shared" si="36"/>
        <v>0</v>
      </c>
      <c r="G97" s="65">
        <f t="shared" si="36"/>
        <v>0</v>
      </c>
      <c r="H97" s="65">
        <f t="shared" si="36"/>
        <v>0</v>
      </c>
      <c r="I97" s="62">
        <f t="shared" si="30"/>
        <v>0</v>
      </c>
      <c r="J97" s="65">
        <f t="shared" si="36"/>
        <v>0</v>
      </c>
      <c r="K97" s="65">
        <f t="shared" si="36"/>
        <v>0</v>
      </c>
    </row>
    <row r="98" spans="1:11" s="21" customFormat="1" ht="0.75" customHeight="1" hidden="1">
      <c r="A98" s="93" t="s">
        <v>154</v>
      </c>
      <c r="B98" s="61"/>
      <c r="C98" s="64" t="s">
        <v>152</v>
      </c>
      <c r="D98" s="79">
        <f aca="true" t="shared" si="37" ref="D98:K98">SUM(D99:D113)</f>
        <v>2407156.85</v>
      </c>
      <c r="E98" s="79">
        <f t="shared" si="37"/>
        <v>2407156.85</v>
      </c>
      <c r="F98" s="316">
        <f t="shared" si="37"/>
        <v>2206425.15</v>
      </c>
      <c r="G98" s="79">
        <f t="shared" si="37"/>
        <v>0</v>
      </c>
      <c r="H98" s="79">
        <f t="shared" si="37"/>
        <v>0</v>
      </c>
      <c r="I98" s="62">
        <f t="shared" si="30"/>
        <v>2206425.15</v>
      </c>
      <c r="J98" s="79">
        <f t="shared" si="37"/>
        <v>200731.7</v>
      </c>
      <c r="K98" s="79">
        <f t="shared" si="37"/>
        <v>200731.7</v>
      </c>
    </row>
    <row r="99" spans="1:11" s="21" customFormat="1" ht="6" customHeight="1" hidden="1">
      <c r="A99" s="60" t="s">
        <v>56</v>
      </c>
      <c r="B99" s="61" t="s">
        <v>50</v>
      </c>
      <c r="C99" s="273" t="s">
        <v>155</v>
      </c>
      <c r="D99" s="92">
        <v>0</v>
      </c>
      <c r="E99" s="92">
        <f aca="true" t="shared" si="38" ref="E99:E109">D99</f>
        <v>0</v>
      </c>
      <c r="F99" s="314">
        <v>0</v>
      </c>
      <c r="G99" s="62">
        <v>0</v>
      </c>
      <c r="H99" s="62">
        <v>0</v>
      </c>
      <c r="I99" s="62">
        <f t="shared" si="30"/>
        <v>0</v>
      </c>
      <c r="J99" s="62">
        <f>D99-F99</f>
        <v>0</v>
      </c>
      <c r="K99" s="62">
        <f>E99-F99</f>
        <v>0</v>
      </c>
    </row>
    <row r="100" spans="1:11" s="21" customFormat="1" ht="50.25" customHeight="1" hidden="1">
      <c r="A100" s="98" t="s">
        <v>255</v>
      </c>
      <c r="B100" s="61"/>
      <c r="C100" s="78" t="s">
        <v>254</v>
      </c>
      <c r="D100" s="65">
        <f>D86</f>
        <v>25000</v>
      </c>
      <c r="E100" s="65">
        <f>E81</f>
        <v>25000</v>
      </c>
      <c r="F100" s="318">
        <f>F86</f>
        <v>24953.07</v>
      </c>
      <c r="G100" s="87">
        <f>G86</f>
        <v>0</v>
      </c>
      <c r="H100" s="87">
        <f>H86</f>
        <v>0</v>
      </c>
      <c r="I100" s="62">
        <f t="shared" si="30"/>
        <v>24953.07</v>
      </c>
      <c r="J100" s="87">
        <f>D100-F100</f>
        <v>46.93000000000029</v>
      </c>
      <c r="K100" s="87">
        <f>E100-F100</f>
        <v>46.93000000000029</v>
      </c>
    </row>
    <row r="101" spans="1:11" s="21" customFormat="1" ht="58.5" customHeight="1" hidden="1">
      <c r="A101" s="101" t="s">
        <v>240</v>
      </c>
      <c r="B101" s="61"/>
      <c r="C101" s="86" t="s">
        <v>239</v>
      </c>
      <c r="D101" s="79">
        <f>D102</f>
        <v>0</v>
      </c>
      <c r="E101" s="79">
        <f t="shared" si="38"/>
        <v>0</v>
      </c>
      <c r="F101" s="318">
        <f aca="true" t="shared" si="39" ref="F101:K101">F102</f>
        <v>0</v>
      </c>
      <c r="G101" s="87">
        <f t="shared" si="39"/>
        <v>0</v>
      </c>
      <c r="H101" s="87">
        <f t="shared" si="39"/>
        <v>0</v>
      </c>
      <c r="I101" s="62">
        <f t="shared" si="30"/>
        <v>0</v>
      </c>
      <c r="J101" s="87">
        <f t="shared" si="39"/>
        <v>0</v>
      </c>
      <c r="K101" s="87">
        <f t="shared" si="39"/>
        <v>0</v>
      </c>
    </row>
    <row r="102" spans="1:11" s="21" customFormat="1" ht="21" customHeight="1" hidden="1">
      <c r="A102" s="82" t="s">
        <v>179</v>
      </c>
      <c r="B102" s="61" t="s">
        <v>50</v>
      </c>
      <c r="C102" s="273" t="s">
        <v>241</v>
      </c>
      <c r="D102" s="92">
        <v>0</v>
      </c>
      <c r="E102" s="92">
        <f t="shared" si="38"/>
        <v>0</v>
      </c>
      <c r="F102" s="314">
        <v>0</v>
      </c>
      <c r="G102" s="62">
        <v>0</v>
      </c>
      <c r="H102" s="62">
        <v>0</v>
      </c>
      <c r="I102" s="62">
        <f t="shared" si="30"/>
        <v>0</v>
      </c>
      <c r="J102" s="62">
        <f>D102-F102</f>
        <v>0</v>
      </c>
      <c r="K102" s="62">
        <f>E102-F102</f>
        <v>0</v>
      </c>
    </row>
    <row r="103" spans="1:11" s="21" customFormat="1" ht="88.5" customHeight="1" hidden="1">
      <c r="A103" s="101" t="s">
        <v>242</v>
      </c>
      <c r="B103" s="61"/>
      <c r="C103" s="86" t="s">
        <v>243</v>
      </c>
      <c r="D103" s="79">
        <f>D104</f>
        <v>0</v>
      </c>
      <c r="E103" s="79">
        <f t="shared" si="38"/>
        <v>0</v>
      </c>
      <c r="F103" s="318">
        <f aca="true" t="shared" si="40" ref="F103:K103">F104</f>
        <v>0</v>
      </c>
      <c r="G103" s="87">
        <f t="shared" si="40"/>
        <v>0</v>
      </c>
      <c r="H103" s="87">
        <f t="shared" si="40"/>
        <v>0</v>
      </c>
      <c r="I103" s="62">
        <f t="shared" si="30"/>
        <v>0</v>
      </c>
      <c r="J103" s="87">
        <f t="shared" si="40"/>
        <v>0</v>
      </c>
      <c r="K103" s="87">
        <f t="shared" si="40"/>
        <v>0</v>
      </c>
    </row>
    <row r="104" spans="1:11" s="21" customFormat="1" ht="26.25" customHeight="1" hidden="1">
      <c r="A104" s="82" t="s">
        <v>179</v>
      </c>
      <c r="B104" s="61" t="s">
        <v>50</v>
      </c>
      <c r="C104" s="273" t="s">
        <v>244</v>
      </c>
      <c r="D104" s="92">
        <v>0</v>
      </c>
      <c r="E104" s="92">
        <f t="shared" si="38"/>
        <v>0</v>
      </c>
      <c r="F104" s="314">
        <v>0</v>
      </c>
      <c r="G104" s="62">
        <v>0</v>
      </c>
      <c r="H104" s="62">
        <v>0</v>
      </c>
      <c r="I104" s="62">
        <f t="shared" si="30"/>
        <v>0</v>
      </c>
      <c r="J104" s="62">
        <f>D104-F104</f>
        <v>0</v>
      </c>
      <c r="K104" s="62">
        <f>E104-F104</f>
        <v>0</v>
      </c>
    </row>
    <row r="105" spans="1:11" s="21" customFormat="1" ht="35.25" customHeight="1" hidden="1">
      <c r="A105" s="101" t="s">
        <v>248</v>
      </c>
      <c r="B105" s="61"/>
      <c r="C105" s="86" t="s">
        <v>247</v>
      </c>
      <c r="D105" s="65">
        <f>D107+D106</f>
        <v>0</v>
      </c>
      <c r="E105" s="65">
        <f>E107+E106</f>
        <v>0</v>
      </c>
      <c r="F105" s="318">
        <f>F107+F106</f>
        <v>0</v>
      </c>
      <c r="G105" s="87">
        <f>G107+G106</f>
        <v>0</v>
      </c>
      <c r="H105" s="87">
        <f>H107+H106</f>
        <v>0</v>
      </c>
      <c r="I105" s="62">
        <f t="shared" si="30"/>
        <v>0</v>
      </c>
      <c r="J105" s="87">
        <f>J107</f>
        <v>0</v>
      </c>
      <c r="K105" s="87">
        <f>K107</f>
        <v>0</v>
      </c>
    </row>
    <row r="106" spans="1:11" s="21" customFormat="1" ht="35.25" customHeight="1" hidden="1">
      <c r="A106" s="60" t="s">
        <v>56</v>
      </c>
      <c r="B106" s="61"/>
      <c r="C106" s="273" t="s">
        <v>249</v>
      </c>
      <c r="D106" s="92">
        <v>0</v>
      </c>
      <c r="E106" s="92">
        <f>D106</f>
        <v>0</v>
      </c>
      <c r="F106" s="314">
        <v>0</v>
      </c>
      <c r="G106" s="62">
        <v>0</v>
      </c>
      <c r="H106" s="62">
        <v>0</v>
      </c>
      <c r="I106" s="62">
        <f t="shared" si="30"/>
        <v>0</v>
      </c>
      <c r="J106" s="62">
        <f>D106-F106</f>
        <v>0</v>
      </c>
      <c r="K106" s="62">
        <f>E106-F106</f>
        <v>0</v>
      </c>
    </row>
    <row r="107" spans="1:11" s="21" customFormat="1" ht="18" customHeight="1" hidden="1">
      <c r="A107" s="60" t="s">
        <v>179</v>
      </c>
      <c r="B107" s="61"/>
      <c r="C107" s="273" t="s">
        <v>250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0"/>
        <v>0</v>
      </c>
      <c r="J107" s="62">
        <f>D107-F107</f>
        <v>0</v>
      </c>
      <c r="K107" s="62">
        <f>E107-F107</f>
        <v>0</v>
      </c>
    </row>
    <row r="108" spans="1:11" s="21" customFormat="1" ht="33" customHeight="1" hidden="1">
      <c r="A108" s="82"/>
      <c r="B108" s="61"/>
      <c r="C108" s="273"/>
      <c r="D108" s="92"/>
      <c r="E108" s="92"/>
      <c r="F108" s="314"/>
      <c r="G108" s="62"/>
      <c r="H108" s="62"/>
      <c r="I108" s="62">
        <f t="shared" si="30"/>
        <v>0</v>
      </c>
      <c r="J108" s="62"/>
      <c r="K108" s="62"/>
    </row>
    <row r="109" spans="1:11" s="21" customFormat="1" ht="20.25" customHeight="1" hidden="1">
      <c r="A109" s="93" t="s">
        <v>245</v>
      </c>
      <c r="B109" s="61"/>
      <c r="C109" s="64" t="s">
        <v>246</v>
      </c>
      <c r="D109" s="65">
        <f>D102+D104+D105</f>
        <v>0</v>
      </c>
      <c r="E109" s="65">
        <f t="shared" si="38"/>
        <v>0</v>
      </c>
      <c r="F109" s="313">
        <f>F101+F103+F105</f>
        <v>0</v>
      </c>
      <c r="G109" s="65">
        <f>G101+G103+G105</f>
        <v>0</v>
      </c>
      <c r="H109" s="65">
        <f>H101+H103+H105</f>
        <v>0</v>
      </c>
      <c r="I109" s="62">
        <f t="shared" si="30"/>
        <v>0</v>
      </c>
      <c r="J109" s="65">
        <f>J101+J103+J105</f>
        <v>0</v>
      </c>
      <c r="K109" s="65">
        <f>J109</f>
        <v>0</v>
      </c>
    </row>
    <row r="110" spans="1:11" s="21" customFormat="1" ht="27" customHeight="1">
      <c r="A110" s="219" t="s">
        <v>361</v>
      </c>
      <c r="B110" s="220"/>
      <c r="C110" s="213" t="s">
        <v>355</v>
      </c>
      <c r="D110" s="214">
        <f>D111</f>
        <v>55680</v>
      </c>
      <c r="E110" s="214">
        <f>E111</f>
        <v>55680</v>
      </c>
      <c r="F110" s="313">
        <f aca="true" t="shared" si="41" ref="F110:K110">F111</f>
        <v>41760</v>
      </c>
      <c r="G110" s="214">
        <f t="shared" si="41"/>
        <v>0</v>
      </c>
      <c r="H110" s="214">
        <f t="shared" si="41"/>
        <v>0</v>
      </c>
      <c r="I110" s="214">
        <f t="shared" si="41"/>
        <v>41760</v>
      </c>
      <c r="J110" s="214">
        <f t="shared" si="41"/>
        <v>13920</v>
      </c>
      <c r="K110" s="214">
        <f t="shared" si="41"/>
        <v>13920</v>
      </c>
    </row>
    <row r="111" spans="1:11" s="21" customFormat="1" ht="15.75" customHeight="1">
      <c r="A111" s="183" t="s">
        <v>369</v>
      </c>
      <c r="B111" s="61"/>
      <c r="C111" s="80" t="s">
        <v>518</v>
      </c>
      <c r="D111" s="65">
        <f>D112</f>
        <v>55680</v>
      </c>
      <c r="E111" s="65">
        <f aca="true" t="shared" si="42" ref="E111:K112">E112</f>
        <v>55680</v>
      </c>
      <c r="F111" s="313">
        <f t="shared" si="42"/>
        <v>41760</v>
      </c>
      <c r="G111" s="65">
        <f t="shared" si="42"/>
        <v>0</v>
      </c>
      <c r="H111" s="65">
        <f t="shared" si="42"/>
        <v>0</v>
      </c>
      <c r="I111" s="65">
        <f t="shared" si="42"/>
        <v>41760</v>
      </c>
      <c r="J111" s="65">
        <f t="shared" si="42"/>
        <v>13920</v>
      </c>
      <c r="K111" s="65">
        <f t="shared" si="42"/>
        <v>13920</v>
      </c>
    </row>
    <row r="112" spans="1:11" s="21" customFormat="1" ht="16.5" customHeight="1">
      <c r="A112" s="82" t="s">
        <v>438</v>
      </c>
      <c r="B112" s="61" t="s">
        <v>50</v>
      </c>
      <c r="C112" s="273" t="s">
        <v>519</v>
      </c>
      <c r="D112" s="92">
        <f>30000+25680</f>
        <v>55680</v>
      </c>
      <c r="E112" s="92">
        <f>D112</f>
        <v>55680</v>
      </c>
      <c r="F112" s="315">
        <v>41760</v>
      </c>
      <c r="G112" s="92">
        <f t="shared" si="42"/>
        <v>0</v>
      </c>
      <c r="H112" s="92">
        <f t="shared" si="42"/>
        <v>0</v>
      </c>
      <c r="I112" s="62">
        <f t="shared" si="30"/>
        <v>41760</v>
      </c>
      <c r="J112" s="92">
        <f>D112-F112</f>
        <v>13920</v>
      </c>
      <c r="K112" s="92">
        <f>E112-F112</f>
        <v>13920</v>
      </c>
    </row>
    <row r="113" spans="1:11" s="21" customFormat="1" ht="147.75" customHeight="1">
      <c r="A113" s="95" t="s">
        <v>231</v>
      </c>
      <c r="B113" s="61"/>
      <c r="C113" s="80" t="s">
        <v>520</v>
      </c>
      <c r="D113" s="65">
        <f>SUM(D114:D116)</f>
        <v>2215116.85</v>
      </c>
      <c r="E113" s="208">
        <f aca="true" t="shared" si="43" ref="E113:K113">SUM(E114:E116)</f>
        <v>2215116.85</v>
      </c>
      <c r="F113" s="313">
        <f>F114</f>
        <v>2056192.08</v>
      </c>
      <c r="G113" s="65">
        <f t="shared" si="43"/>
        <v>0</v>
      </c>
      <c r="H113" s="65">
        <f t="shared" si="43"/>
        <v>0</v>
      </c>
      <c r="I113" s="65">
        <f t="shared" si="43"/>
        <v>2056192.08</v>
      </c>
      <c r="J113" s="65">
        <f t="shared" si="43"/>
        <v>158924.77000000002</v>
      </c>
      <c r="K113" s="65">
        <f t="shared" si="43"/>
        <v>158924.77000000002</v>
      </c>
    </row>
    <row r="114" spans="1:11" s="21" customFormat="1" ht="15" customHeight="1">
      <c r="A114" s="82" t="s">
        <v>55</v>
      </c>
      <c r="B114" s="61" t="s">
        <v>50</v>
      </c>
      <c r="C114" s="273" t="s">
        <v>521</v>
      </c>
      <c r="D114" s="92">
        <v>2215116.85</v>
      </c>
      <c r="E114" s="92">
        <f>D114</f>
        <v>2215116.85</v>
      </c>
      <c r="F114" s="314">
        <f>1778192.02+250000.06+28000</f>
        <v>2056192.08</v>
      </c>
      <c r="G114" s="62">
        <v>0</v>
      </c>
      <c r="H114" s="62">
        <v>0</v>
      </c>
      <c r="I114" s="62">
        <f>SUM(F114:H114)</f>
        <v>2056192.08</v>
      </c>
      <c r="J114" s="62">
        <f>D114-F114</f>
        <v>158924.77000000002</v>
      </c>
      <c r="K114" s="62">
        <f>E114-F114</f>
        <v>158924.77000000002</v>
      </c>
    </row>
    <row r="115" spans="1:11" s="21" customFormat="1" ht="18.75" customHeight="1" hidden="1">
      <c r="A115" s="60" t="s">
        <v>56</v>
      </c>
      <c r="B115" s="61" t="s">
        <v>50</v>
      </c>
      <c r="C115" s="273" t="s">
        <v>374</v>
      </c>
      <c r="D115" s="92">
        <v>0</v>
      </c>
      <c r="E115" s="92">
        <f>D115</f>
        <v>0</v>
      </c>
      <c r="F115" s="314">
        <v>0</v>
      </c>
      <c r="G115" s="62">
        <v>0</v>
      </c>
      <c r="H115" s="62">
        <v>0</v>
      </c>
      <c r="I115" s="62">
        <f>SUM(F115:H115)</f>
        <v>0</v>
      </c>
      <c r="J115" s="62">
        <f>D115-F115</f>
        <v>0</v>
      </c>
      <c r="K115" s="62">
        <f>E115-F115</f>
        <v>0</v>
      </c>
    </row>
    <row r="116" spans="1:11" s="21" customFormat="1" ht="30.75" customHeight="1" hidden="1">
      <c r="A116" s="60" t="s">
        <v>58</v>
      </c>
      <c r="B116" s="61" t="s">
        <v>50</v>
      </c>
      <c r="C116" s="273" t="s">
        <v>384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27.75" customHeight="1">
      <c r="A117" s="221" t="s">
        <v>232</v>
      </c>
      <c r="B117" s="220"/>
      <c r="C117" s="216" t="s">
        <v>233</v>
      </c>
      <c r="D117" s="214">
        <f>D114+D115+D116</f>
        <v>2215116.85</v>
      </c>
      <c r="E117" s="214">
        <f>E114+E115+E116</f>
        <v>2215116.85</v>
      </c>
      <c r="F117" s="313">
        <f>F113</f>
        <v>2056192.08</v>
      </c>
      <c r="G117" s="214">
        <f>G114+G115</f>
        <v>0</v>
      </c>
      <c r="H117" s="214">
        <f>H114+H115</f>
        <v>0</v>
      </c>
      <c r="I117" s="214">
        <f>I114+I115</f>
        <v>2056192.08</v>
      </c>
      <c r="J117" s="214">
        <f>J113</f>
        <v>158924.77000000002</v>
      </c>
      <c r="K117" s="214">
        <f>K113</f>
        <v>158924.77000000002</v>
      </c>
    </row>
    <row r="118" spans="1:11" s="21" customFormat="1" ht="27.75" customHeight="1" hidden="1">
      <c r="A118" s="97" t="s">
        <v>444</v>
      </c>
      <c r="B118" s="61"/>
      <c r="C118" s="80" t="s">
        <v>522</v>
      </c>
      <c r="D118" s="65">
        <f>D119</f>
        <v>0</v>
      </c>
      <c r="E118" s="65">
        <f aca="true" t="shared" si="44" ref="E118:K118">E119</f>
        <v>0</v>
      </c>
      <c r="F118" s="313">
        <f t="shared" si="44"/>
        <v>0</v>
      </c>
      <c r="G118" s="65">
        <f t="shared" si="44"/>
        <v>0</v>
      </c>
      <c r="H118" s="65">
        <f t="shared" si="44"/>
        <v>0</v>
      </c>
      <c r="I118" s="65">
        <f t="shared" si="44"/>
        <v>0</v>
      </c>
      <c r="J118" s="65">
        <f t="shared" si="44"/>
        <v>0</v>
      </c>
      <c r="K118" s="65">
        <f t="shared" si="44"/>
        <v>0</v>
      </c>
    </row>
    <row r="119" spans="1:11" s="21" customFormat="1" ht="17.25" customHeight="1" hidden="1">
      <c r="A119" s="60" t="s">
        <v>56</v>
      </c>
      <c r="B119" s="61"/>
      <c r="C119" s="273" t="s">
        <v>523</v>
      </c>
      <c r="D119" s="92">
        <f>50000-50000</f>
        <v>0</v>
      </c>
      <c r="E119" s="92">
        <f>D119</f>
        <v>0</v>
      </c>
      <c r="F119" s="315">
        <v>0</v>
      </c>
      <c r="G119" s="92"/>
      <c r="H119" s="92"/>
      <c r="I119" s="92"/>
      <c r="J119" s="92"/>
      <c r="K119" s="92">
        <f>E119-F119</f>
        <v>0</v>
      </c>
    </row>
    <row r="120" spans="1:11" s="21" customFormat="1" ht="27.75" customHeight="1" hidden="1">
      <c r="A120" s="221" t="s">
        <v>443</v>
      </c>
      <c r="B120" s="220"/>
      <c r="C120" s="216" t="s">
        <v>442</v>
      </c>
      <c r="D120" s="214">
        <f>D119</f>
        <v>0</v>
      </c>
      <c r="E120" s="214">
        <f aca="true" t="shared" si="45" ref="E120:K120">E119</f>
        <v>0</v>
      </c>
      <c r="F120" s="313">
        <f t="shared" si="45"/>
        <v>0</v>
      </c>
      <c r="G120" s="214">
        <f t="shared" si="45"/>
        <v>0</v>
      </c>
      <c r="H120" s="214">
        <f t="shared" si="45"/>
        <v>0</v>
      </c>
      <c r="I120" s="214">
        <f t="shared" si="45"/>
        <v>0</v>
      </c>
      <c r="J120" s="214">
        <f t="shared" si="45"/>
        <v>0</v>
      </c>
      <c r="K120" s="214">
        <f t="shared" si="45"/>
        <v>0</v>
      </c>
    </row>
    <row r="121" spans="1:11" s="21" customFormat="1" ht="22.5" customHeight="1">
      <c r="A121" s="230" t="s">
        <v>265</v>
      </c>
      <c r="B121" s="231"/>
      <c r="C121" s="210" t="s">
        <v>153</v>
      </c>
      <c r="D121" s="211">
        <f>D110+D117+D120</f>
        <v>2270796.85</v>
      </c>
      <c r="E121" s="211">
        <f aca="true" t="shared" si="46" ref="E121:K121">E110+E117+E120</f>
        <v>2270796.85</v>
      </c>
      <c r="F121" s="313">
        <f>F110+F117+F120</f>
        <v>2097952.08</v>
      </c>
      <c r="G121" s="211">
        <f t="shared" si="46"/>
        <v>0</v>
      </c>
      <c r="H121" s="211">
        <f t="shared" si="46"/>
        <v>0</v>
      </c>
      <c r="I121" s="211">
        <f t="shared" si="46"/>
        <v>2097952.08</v>
      </c>
      <c r="J121" s="211">
        <f t="shared" si="46"/>
        <v>172844.77000000002</v>
      </c>
      <c r="K121" s="211">
        <f t="shared" si="46"/>
        <v>172844.77000000002</v>
      </c>
    </row>
    <row r="122" spans="1:11" s="59" customFormat="1" ht="0.75" customHeight="1">
      <c r="A122" s="95" t="s">
        <v>168</v>
      </c>
      <c r="B122" s="70"/>
      <c r="C122" s="80" t="s">
        <v>169</v>
      </c>
      <c r="D122" s="79" t="e">
        <f>SUM(#REF!)</f>
        <v>#REF!</v>
      </c>
      <c r="E122" s="79" t="e">
        <f>SUM(#REF!)</f>
        <v>#REF!</v>
      </c>
      <c r="F122" s="316" t="e">
        <f>SUM(#REF!)</f>
        <v>#REF!</v>
      </c>
      <c r="G122" s="79" t="e">
        <f>SUM(#REF!)</f>
        <v>#REF!</v>
      </c>
      <c r="H122" s="79" t="e">
        <f>SUM(#REF!)</f>
        <v>#REF!</v>
      </c>
      <c r="I122" s="79" t="e">
        <f>SUM(#REF!)</f>
        <v>#REF!</v>
      </c>
      <c r="J122" s="79" t="e">
        <f>SUM(#REF!)</f>
        <v>#REF!</v>
      </c>
      <c r="K122" s="79" t="e">
        <f>SUM(#REF!)</f>
        <v>#REF!</v>
      </c>
    </row>
    <row r="123" spans="1:11" s="21" customFormat="1" ht="144" customHeight="1" hidden="1">
      <c r="A123" s="101" t="s">
        <v>227</v>
      </c>
      <c r="B123" s="61"/>
      <c r="C123" s="80" t="s">
        <v>524</v>
      </c>
      <c r="D123" s="65">
        <f aca="true" t="shared" si="47" ref="D123:K123">D124</f>
        <v>0</v>
      </c>
      <c r="E123" s="65">
        <f t="shared" si="47"/>
        <v>0</v>
      </c>
      <c r="F123" s="318">
        <f t="shared" si="47"/>
        <v>0</v>
      </c>
      <c r="G123" s="87">
        <f t="shared" si="47"/>
        <v>0</v>
      </c>
      <c r="H123" s="87">
        <f t="shared" si="47"/>
        <v>0</v>
      </c>
      <c r="I123" s="87">
        <f t="shared" si="47"/>
        <v>0</v>
      </c>
      <c r="J123" s="87">
        <f t="shared" si="47"/>
        <v>0</v>
      </c>
      <c r="K123" s="87">
        <f t="shared" si="47"/>
        <v>0</v>
      </c>
    </row>
    <row r="124" spans="1:11" s="21" customFormat="1" ht="18.75" customHeight="1" hidden="1">
      <c r="A124" s="82" t="s">
        <v>58</v>
      </c>
      <c r="B124" s="61" t="s">
        <v>50</v>
      </c>
      <c r="C124" s="273" t="s">
        <v>525</v>
      </c>
      <c r="D124" s="92"/>
      <c r="E124" s="92">
        <f>D124</f>
        <v>0</v>
      </c>
      <c r="F124" s="314"/>
      <c r="G124" s="62">
        <v>0</v>
      </c>
      <c r="H124" s="62">
        <v>0</v>
      </c>
      <c r="I124" s="62">
        <f>F124+G124+H124</f>
        <v>0</v>
      </c>
      <c r="J124" s="62">
        <f>D124-F124</f>
        <v>0</v>
      </c>
      <c r="K124" s="62">
        <f>E124-F124</f>
        <v>0</v>
      </c>
    </row>
    <row r="125" spans="1:11" s="21" customFormat="1" ht="15" customHeight="1" hidden="1">
      <c r="A125" s="227" t="s">
        <v>228</v>
      </c>
      <c r="B125" s="218"/>
      <c r="C125" s="228" t="s">
        <v>94</v>
      </c>
      <c r="D125" s="211">
        <f>D123</f>
        <v>0</v>
      </c>
      <c r="E125" s="211">
        <f>D125</f>
        <v>0</v>
      </c>
      <c r="F125" s="313">
        <f>F123</f>
        <v>0</v>
      </c>
      <c r="G125" s="211">
        <f>SUM(G123:G124)</f>
        <v>0</v>
      </c>
      <c r="H125" s="211">
        <f>SUM(H123:H124)</f>
        <v>0</v>
      </c>
      <c r="I125" s="211">
        <f>I123</f>
        <v>0</v>
      </c>
      <c r="J125" s="211">
        <f>J123</f>
        <v>0</v>
      </c>
      <c r="K125" s="211">
        <f>K123</f>
        <v>0</v>
      </c>
    </row>
    <row r="126" spans="1:11" s="59" customFormat="1" ht="33.75" customHeight="1">
      <c r="A126" s="278" t="s">
        <v>117</v>
      </c>
      <c r="B126" s="260"/>
      <c r="C126" s="261" t="s">
        <v>526</v>
      </c>
      <c r="D126" s="262">
        <f>D127+D129+D130+D131+D128+D132</f>
        <v>95023</v>
      </c>
      <c r="E126" s="262">
        <f>E127+E129+E130+E131+E128+E132</f>
        <v>95023</v>
      </c>
      <c r="F126" s="319">
        <f>F127+F129+F130+F131+F128+F132</f>
        <v>79272.99</v>
      </c>
      <c r="G126" s="262">
        <f>G127+G129+G130+G131+G128</f>
        <v>0</v>
      </c>
      <c r="H126" s="262">
        <f>H127+H129+H130+H131+H128</f>
        <v>0</v>
      </c>
      <c r="I126" s="262">
        <f>I127+I129+I130+I131+I128</f>
        <v>12475</v>
      </c>
      <c r="J126" s="262">
        <f>J127+J129+J130+J131+J128</f>
        <v>15525</v>
      </c>
      <c r="K126" s="262">
        <f>D126-F126</f>
        <v>15750.009999999995</v>
      </c>
    </row>
    <row r="127" spans="1:11" s="21" customFormat="1" ht="21" customHeight="1" hidden="1">
      <c r="A127" s="82" t="s">
        <v>54</v>
      </c>
      <c r="B127" s="61" t="s">
        <v>50</v>
      </c>
      <c r="C127" s="273" t="s">
        <v>375</v>
      </c>
      <c r="D127" s="92">
        <v>0</v>
      </c>
      <c r="E127" s="92">
        <f aca="true" t="shared" si="48" ref="E127:E132">D127</f>
        <v>0</v>
      </c>
      <c r="F127" s="314">
        <v>0</v>
      </c>
      <c r="G127" s="62">
        <v>0</v>
      </c>
      <c r="H127" s="62">
        <v>0</v>
      </c>
      <c r="I127" s="62">
        <f>SUM(F127:H127)</f>
        <v>0</v>
      </c>
      <c r="J127" s="62">
        <f aca="true" t="shared" si="49" ref="J127:J134">D127-F127</f>
        <v>0</v>
      </c>
      <c r="K127" s="62">
        <f aca="true" t="shared" si="50" ref="K127:K134">E127-F127</f>
        <v>0</v>
      </c>
    </row>
    <row r="128" spans="1:11" s="21" customFormat="1" ht="21" customHeight="1">
      <c r="A128" s="269" t="s">
        <v>54</v>
      </c>
      <c r="B128" s="242" t="s">
        <v>50</v>
      </c>
      <c r="C128" s="274" t="s">
        <v>527</v>
      </c>
      <c r="D128" s="279">
        <v>67023</v>
      </c>
      <c r="E128" s="279">
        <f t="shared" si="48"/>
        <v>67023</v>
      </c>
      <c r="F128" s="243">
        <f>53415.7+2639.92+3776.86+4206.41-100+2171.58+687.52</f>
        <v>66797.99</v>
      </c>
      <c r="G128" s="243"/>
      <c r="H128" s="243"/>
      <c r="I128" s="243"/>
      <c r="J128" s="243"/>
      <c r="K128" s="243">
        <f t="shared" si="50"/>
        <v>225.00999999999476</v>
      </c>
    </row>
    <row r="129" spans="1:11" s="21" customFormat="1" ht="18" customHeight="1">
      <c r="A129" s="82" t="s">
        <v>55</v>
      </c>
      <c r="B129" s="61" t="s">
        <v>50</v>
      </c>
      <c r="C129" s="273" t="s">
        <v>528</v>
      </c>
      <c r="D129" s="92">
        <v>0</v>
      </c>
      <c r="E129" s="92">
        <f t="shared" si="48"/>
        <v>0</v>
      </c>
      <c r="F129" s="314">
        <v>0</v>
      </c>
      <c r="G129" s="62">
        <v>0</v>
      </c>
      <c r="H129" s="62">
        <v>0</v>
      </c>
      <c r="I129" s="62">
        <f>SUM(F129:H129)</f>
        <v>0</v>
      </c>
      <c r="J129" s="62">
        <f t="shared" si="49"/>
        <v>0</v>
      </c>
      <c r="K129" s="62">
        <f t="shared" si="50"/>
        <v>0</v>
      </c>
    </row>
    <row r="130" spans="1:14" s="21" customFormat="1" ht="18.75" customHeight="1">
      <c r="A130" s="82" t="s">
        <v>56</v>
      </c>
      <c r="B130" s="61" t="s">
        <v>50</v>
      </c>
      <c r="C130" s="273" t="s">
        <v>529</v>
      </c>
      <c r="D130" s="92">
        <v>23000</v>
      </c>
      <c r="E130" s="92">
        <f t="shared" si="48"/>
        <v>23000</v>
      </c>
      <c r="F130" s="314">
        <v>7475</v>
      </c>
      <c r="G130" s="62">
        <v>0</v>
      </c>
      <c r="H130" s="62">
        <v>0</v>
      </c>
      <c r="I130" s="62">
        <f>SUM(F130:H130)</f>
        <v>7475</v>
      </c>
      <c r="J130" s="62">
        <f t="shared" si="49"/>
        <v>15525</v>
      </c>
      <c r="K130" s="62">
        <f t="shared" si="50"/>
        <v>15525</v>
      </c>
      <c r="N130" s="247"/>
    </row>
    <row r="131" spans="1:11" s="21" customFormat="1" ht="19.5" customHeight="1">
      <c r="A131" s="82" t="s">
        <v>58</v>
      </c>
      <c r="B131" s="61" t="s">
        <v>50</v>
      </c>
      <c r="C131" s="273" t="s">
        <v>530</v>
      </c>
      <c r="D131" s="92">
        <v>5000</v>
      </c>
      <c r="E131" s="92">
        <f t="shared" si="48"/>
        <v>5000</v>
      </c>
      <c r="F131" s="314">
        <v>5000</v>
      </c>
      <c r="G131" s="62">
        <v>0</v>
      </c>
      <c r="H131" s="62">
        <v>0</v>
      </c>
      <c r="I131" s="62">
        <f>SUM(F131:H131)</f>
        <v>5000</v>
      </c>
      <c r="J131" s="62">
        <f t="shared" si="49"/>
        <v>0</v>
      </c>
      <c r="K131" s="62">
        <f t="shared" si="50"/>
        <v>0</v>
      </c>
    </row>
    <row r="132" spans="1:11" s="21" customFormat="1" ht="18" customHeight="1">
      <c r="A132" s="60"/>
      <c r="B132" s="61" t="s">
        <v>50</v>
      </c>
      <c r="C132" s="273" t="s">
        <v>531</v>
      </c>
      <c r="D132" s="92"/>
      <c r="E132" s="92">
        <f t="shared" si="48"/>
        <v>0</v>
      </c>
      <c r="F132" s="314"/>
      <c r="G132" s="62">
        <v>0</v>
      </c>
      <c r="H132" s="62">
        <v>0</v>
      </c>
      <c r="I132" s="62">
        <f>SUM(F132:H132)</f>
        <v>0</v>
      </c>
      <c r="J132" s="62">
        <f t="shared" si="49"/>
        <v>0</v>
      </c>
      <c r="K132" s="62">
        <f t="shared" si="50"/>
        <v>0</v>
      </c>
    </row>
    <row r="133" spans="1:14" s="21" customFormat="1" ht="27" customHeight="1">
      <c r="A133" s="230" t="s">
        <v>274</v>
      </c>
      <c r="B133" s="231"/>
      <c r="C133" s="257" t="s">
        <v>532</v>
      </c>
      <c r="D133" s="211">
        <f aca="true" t="shared" si="51" ref="D133:I133">D134</f>
        <v>35000</v>
      </c>
      <c r="E133" s="211">
        <f t="shared" si="51"/>
        <v>35000</v>
      </c>
      <c r="F133" s="318">
        <f t="shared" si="51"/>
        <v>34228</v>
      </c>
      <c r="G133" s="259">
        <f t="shared" si="51"/>
        <v>34228</v>
      </c>
      <c r="H133" s="259">
        <f t="shared" si="51"/>
        <v>34228</v>
      </c>
      <c r="I133" s="259">
        <f t="shared" si="51"/>
        <v>34228</v>
      </c>
      <c r="J133" s="259">
        <f t="shared" si="49"/>
        <v>772</v>
      </c>
      <c r="K133" s="259">
        <f t="shared" si="50"/>
        <v>772</v>
      </c>
      <c r="N133" s="247"/>
    </row>
    <row r="134" spans="1:14" s="21" customFormat="1" ht="18" customHeight="1">
      <c r="A134" s="82" t="s">
        <v>274</v>
      </c>
      <c r="B134" s="61" t="s">
        <v>50</v>
      </c>
      <c r="C134" s="273" t="s">
        <v>533</v>
      </c>
      <c r="D134" s="92">
        <v>35000</v>
      </c>
      <c r="E134" s="92">
        <f>D134</f>
        <v>35000</v>
      </c>
      <c r="F134" s="314">
        <v>34228</v>
      </c>
      <c r="G134" s="62">
        <f>F134</f>
        <v>34228</v>
      </c>
      <c r="H134" s="62">
        <f>G134</f>
        <v>34228</v>
      </c>
      <c r="I134" s="62">
        <f>H134</f>
        <v>34228</v>
      </c>
      <c r="J134" s="62">
        <f t="shared" si="49"/>
        <v>772</v>
      </c>
      <c r="K134" s="62">
        <f t="shared" si="50"/>
        <v>772</v>
      </c>
      <c r="N134" s="247"/>
    </row>
    <row r="135" spans="1:11" s="21" customFormat="1" ht="29.25" customHeight="1">
      <c r="A135" s="277" t="s">
        <v>275</v>
      </c>
      <c r="B135" s="220"/>
      <c r="C135" s="223" t="s">
        <v>534</v>
      </c>
      <c r="D135" s="214">
        <f>D136+D137+D138+D139</f>
        <v>56000</v>
      </c>
      <c r="E135" s="214">
        <f>E136+E137+E138+E139</f>
        <v>56000</v>
      </c>
      <c r="F135" s="318">
        <f aca="true" t="shared" si="52" ref="F135:K135">F136+F137+F138+F139</f>
        <v>47109.68</v>
      </c>
      <c r="G135" s="209">
        <f t="shared" si="52"/>
        <v>0</v>
      </c>
      <c r="H135" s="209">
        <f t="shared" si="52"/>
        <v>0</v>
      </c>
      <c r="I135" s="209">
        <f t="shared" si="52"/>
        <v>47109.68</v>
      </c>
      <c r="J135" s="209">
        <f t="shared" si="52"/>
        <v>8890.32</v>
      </c>
      <c r="K135" s="209">
        <f t="shared" si="52"/>
        <v>8890.32</v>
      </c>
    </row>
    <row r="136" spans="1:11" s="21" customFormat="1" ht="21" customHeight="1">
      <c r="A136" s="82" t="s">
        <v>54</v>
      </c>
      <c r="B136" s="61"/>
      <c r="C136" s="273" t="s">
        <v>535</v>
      </c>
      <c r="D136" s="92">
        <f>3110-0.32</f>
        <v>3109.68</v>
      </c>
      <c r="E136" s="92">
        <f>D136</f>
        <v>3109.68</v>
      </c>
      <c r="F136" s="314">
        <f>1554.84+1554.84</f>
        <v>3109.68</v>
      </c>
      <c r="G136" s="62"/>
      <c r="H136" s="62"/>
      <c r="I136" s="62">
        <f>SUM(F136:H136)</f>
        <v>3109.68</v>
      </c>
      <c r="J136" s="62">
        <f>D136-F136</f>
        <v>0</v>
      </c>
      <c r="K136" s="62">
        <f>E136-F136</f>
        <v>0</v>
      </c>
    </row>
    <row r="137" spans="1:11" s="21" customFormat="1" ht="21" customHeight="1">
      <c r="A137" s="82" t="s">
        <v>55</v>
      </c>
      <c r="B137" s="61"/>
      <c r="C137" s="273" t="s">
        <v>376</v>
      </c>
      <c r="D137" s="92">
        <f>52890+0.32</f>
        <v>52890.32</v>
      </c>
      <c r="E137" s="92">
        <f>D137</f>
        <v>52890.32</v>
      </c>
      <c r="F137" s="314">
        <v>44000</v>
      </c>
      <c r="G137" s="62"/>
      <c r="H137" s="62"/>
      <c r="I137" s="62">
        <f>SUM(F137:H137)</f>
        <v>44000</v>
      </c>
      <c r="J137" s="62">
        <f>D137-F137</f>
        <v>8890.32</v>
      </c>
      <c r="K137" s="62">
        <f>E137-F137</f>
        <v>8890.32</v>
      </c>
    </row>
    <row r="138" spans="1:11" s="21" customFormat="1" ht="21" customHeight="1" hidden="1">
      <c r="A138" s="60" t="s">
        <v>150</v>
      </c>
      <c r="B138" s="61"/>
      <c r="C138" s="273" t="s">
        <v>447</v>
      </c>
      <c r="D138" s="92">
        <v>0</v>
      </c>
      <c r="E138" s="92">
        <v>0</v>
      </c>
      <c r="F138" s="314">
        <v>0</v>
      </c>
      <c r="G138" s="62"/>
      <c r="H138" s="62"/>
      <c r="I138" s="62">
        <f>SUM(F138:H138)</f>
        <v>0</v>
      </c>
      <c r="J138" s="62">
        <f>D138-F138</f>
        <v>0</v>
      </c>
      <c r="K138" s="62">
        <f>E138-F138</f>
        <v>0</v>
      </c>
    </row>
    <row r="139" spans="1:11" s="21" customFormat="1" ht="21" customHeight="1" hidden="1">
      <c r="A139" s="82" t="s">
        <v>58</v>
      </c>
      <c r="B139" s="61"/>
      <c r="C139" s="273" t="s">
        <v>448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19.5" customHeight="1" hidden="1">
      <c r="A140" s="99" t="s">
        <v>230</v>
      </c>
      <c r="B140" s="61"/>
      <c r="C140" s="80" t="s">
        <v>378</v>
      </c>
      <c r="D140" s="79">
        <f>SUM(D141:D142)</f>
        <v>0</v>
      </c>
      <c r="E140" s="79">
        <f aca="true" t="shared" si="53" ref="E140:K140">SUM(E141:E142)</f>
        <v>0</v>
      </c>
      <c r="F140" s="316">
        <f>F141</f>
        <v>0</v>
      </c>
      <c r="G140" s="79">
        <f t="shared" si="53"/>
        <v>0</v>
      </c>
      <c r="H140" s="79">
        <f t="shared" si="53"/>
        <v>0</v>
      </c>
      <c r="I140" s="79">
        <f t="shared" si="53"/>
        <v>0</v>
      </c>
      <c r="J140" s="79">
        <f t="shared" si="53"/>
        <v>0</v>
      </c>
      <c r="K140" s="79">
        <f t="shared" si="53"/>
        <v>0</v>
      </c>
    </row>
    <row r="141" spans="1:11" s="21" customFormat="1" ht="15.75" customHeight="1" hidden="1">
      <c r="A141" s="82" t="s">
        <v>55</v>
      </c>
      <c r="B141" s="61"/>
      <c r="C141" s="273" t="s">
        <v>453</v>
      </c>
      <c r="D141" s="92">
        <v>0</v>
      </c>
      <c r="E141" s="92">
        <v>0</v>
      </c>
      <c r="F141" s="314">
        <v>0</v>
      </c>
      <c r="G141" s="62">
        <v>0</v>
      </c>
      <c r="H141" s="62">
        <v>0</v>
      </c>
      <c r="I141" s="62">
        <f>SUM(F141:H141)</f>
        <v>0</v>
      </c>
      <c r="J141" s="62">
        <f>D141-F141</f>
        <v>0</v>
      </c>
      <c r="K141" s="62">
        <f>E141-F141</f>
        <v>0</v>
      </c>
    </row>
    <row r="142" spans="1:11" s="21" customFormat="1" ht="15.75" customHeight="1" hidden="1">
      <c r="A142" s="60" t="s">
        <v>179</v>
      </c>
      <c r="B142" s="61"/>
      <c r="C142" s="273" t="s">
        <v>397</v>
      </c>
      <c r="D142" s="92">
        <v>0</v>
      </c>
      <c r="E142" s="92">
        <f>D142</f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22.5" customHeight="1">
      <c r="A143" s="232" t="s">
        <v>473</v>
      </c>
      <c r="B143" s="218"/>
      <c r="C143" s="228" t="s">
        <v>91</v>
      </c>
      <c r="D143" s="211">
        <f>D126+D133+D135+D125</f>
        <v>186023</v>
      </c>
      <c r="E143" s="211">
        <f>E126+E133+E135+E125</f>
        <v>186023</v>
      </c>
      <c r="F143" s="313">
        <f>F126+F133+F135+F140</f>
        <v>160610.67</v>
      </c>
      <c r="G143" s="211">
        <f>G126+G133+G135+G140</f>
        <v>34228</v>
      </c>
      <c r="H143" s="211">
        <f>H126+H133+H135+H140</f>
        <v>34228</v>
      </c>
      <c r="I143" s="211">
        <f>I126+I133+I135+I140</f>
        <v>93812.68</v>
      </c>
      <c r="J143" s="211">
        <f>D143-F143</f>
        <v>25412.329999999987</v>
      </c>
      <c r="K143" s="211">
        <f>E143-F143</f>
        <v>25412.329999999987</v>
      </c>
    </row>
    <row r="144" spans="1:11" s="21" customFormat="1" ht="15.75" customHeight="1" hidden="1">
      <c r="A144" s="72" t="s">
        <v>266</v>
      </c>
      <c r="B144" s="63"/>
      <c r="C144" s="78" t="s">
        <v>106</v>
      </c>
      <c r="D144" s="65">
        <f>D143</f>
        <v>186023</v>
      </c>
      <c r="E144" s="65">
        <f>E143</f>
        <v>186023</v>
      </c>
      <c r="F144" s="313">
        <f>F125+F143</f>
        <v>160610.67</v>
      </c>
      <c r="G144" s="65">
        <f>G125+G143</f>
        <v>34228</v>
      </c>
      <c r="H144" s="65">
        <f>H125+H143</f>
        <v>34228</v>
      </c>
      <c r="I144" s="65">
        <f>I125+I143</f>
        <v>93812.68</v>
      </c>
      <c r="J144" s="65">
        <f>D144-F144</f>
        <v>25412.329999999987</v>
      </c>
      <c r="K144" s="65">
        <f>E144-F144</f>
        <v>25412.329999999987</v>
      </c>
    </row>
    <row r="145" spans="1:11" s="21" customFormat="1" ht="24" customHeight="1">
      <c r="A145" s="226" t="s">
        <v>440</v>
      </c>
      <c r="B145" s="215"/>
      <c r="C145" s="223" t="s">
        <v>536</v>
      </c>
      <c r="D145" s="224">
        <f>D146+D147</f>
        <v>25678</v>
      </c>
      <c r="E145" s="224">
        <f aca="true" t="shared" si="54" ref="E145:J145">E146+E147</f>
        <v>25678</v>
      </c>
      <c r="F145" s="316">
        <f t="shared" si="54"/>
        <v>21555.27</v>
      </c>
      <c r="G145" s="224">
        <f t="shared" si="54"/>
        <v>0</v>
      </c>
      <c r="H145" s="224">
        <f t="shared" si="54"/>
        <v>0</v>
      </c>
      <c r="I145" s="224">
        <f t="shared" si="54"/>
        <v>21555.27</v>
      </c>
      <c r="J145" s="224">
        <f t="shared" si="54"/>
        <v>28400</v>
      </c>
      <c r="K145" s="224">
        <f>K146+K147</f>
        <v>4122.729999999998</v>
      </c>
    </row>
    <row r="146" spans="1:13" s="21" customFormat="1" ht="15.75" customHeight="1">
      <c r="A146" s="269" t="s">
        <v>54</v>
      </c>
      <c r="B146" s="244"/>
      <c r="C146" s="274" t="s">
        <v>537</v>
      </c>
      <c r="D146" s="245">
        <v>19807.6</v>
      </c>
      <c r="E146" s="245">
        <f>D146</f>
        <v>19807.6</v>
      </c>
      <c r="F146" s="245">
        <f>15887.27+100</f>
        <v>15987.27</v>
      </c>
      <c r="G146" s="245">
        <v>0</v>
      </c>
      <c r="H146" s="245">
        <v>0</v>
      </c>
      <c r="I146" s="245">
        <f>F146</f>
        <v>15987.27</v>
      </c>
      <c r="J146" s="245">
        <v>28400</v>
      </c>
      <c r="K146" s="245">
        <f>D146-F146</f>
        <v>3820.329999999998</v>
      </c>
      <c r="L146" s="79">
        <v>28400</v>
      </c>
      <c r="M146" s="79">
        <v>28400</v>
      </c>
    </row>
    <row r="147" spans="1:13" s="21" customFormat="1" ht="15.75" customHeight="1">
      <c r="A147" s="82" t="s">
        <v>55</v>
      </c>
      <c r="B147" s="63"/>
      <c r="C147" s="273" t="s">
        <v>538</v>
      </c>
      <c r="D147" s="205">
        <v>5870.4</v>
      </c>
      <c r="E147" s="205">
        <f>D147</f>
        <v>5870.4</v>
      </c>
      <c r="F147" s="320">
        <f>3060+2508</f>
        <v>5568</v>
      </c>
      <c r="G147" s="205"/>
      <c r="H147" s="205"/>
      <c r="I147" s="205">
        <f>F147</f>
        <v>5568</v>
      </c>
      <c r="J147" s="205"/>
      <c r="K147" s="205">
        <f>D147-F147</f>
        <v>302.39999999999964</v>
      </c>
      <c r="L147" s="206"/>
      <c r="M147" s="206"/>
    </row>
    <row r="148" spans="1:11" s="59" customFormat="1" ht="26.25" customHeight="1">
      <c r="A148" s="225" t="s">
        <v>211</v>
      </c>
      <c r="B148" s="222"/>
      <c r="C148" s="223" t="s">
        <v>399</v>
      </c>
      <c r="D148" s="224">
        <f>D149+D150</f>
        <v>10000</v>
      </c>
      <c r="E148" s="205">
        <f>D148</f>
        <v>10000</v>
      </c>
      <c r="F148" s="316">
        <f aca="true" t="shared" si="55" ref="F148:K148">F149+F150</f>
        <v>8000</v>
      </c>
      <c r="G148" s="224">
        <f t="shared" si="55"/>
        <v>0</v>
      </c>
      <c r="H148" s="224">
        <f t="shared" si="55"/>
        <v>0</v>
      </c>
      <c r="I148" s="224">
        <f t="shared" si="55"/>
        <v>8000</v>
      </c>
      <c r="J148" s="224" t="e">
        <f t="shared" si="55"/>
        <v>#VALUE!</v>
      </c>
      <c r="K148" s="224">
        <f t="shared" si="55"/>
        <v>2000</v>
      </c>
    </row>
    <row r="149" spans="1:11" s="59" customFormat="1" ht="15.75" customHeight="1" hidden="1">
      <c r="A149" s="82" t="s">
        <v>55</v>
      </c>
      <c r="B149" s="61" t="s">
        <v>50</v>
      </c>
      <c r="C149" s="273" t="s">
        <v>398</v>
      </c>
      <c r="D149" s="92">
        <v>0</v>
      </c>
      <c r="E149" s="205">
        <f>D149</f>
        <v>0</v>
      </c>
      <c r="F149" s="314">
        <v>0</v>
      </c>
      <c r="G149" s="62">
        <v>0</v>
      </c>
      <c r="H149" s="62">
        <v>0</v>
      </c>
      <c r="I149" s="62">
        <f>SUM(F149:H149)</f>
        <v>0</v>
      </c>
      <c r="J149" s="62">
        <f>D149-F149</f>
        <v>0</v>
      </c>
      <c r="K149" s="62">
        <f>E149-F149</f>
        <v>0</v>
      </c>
    </row>
    <row r="150" spans="1:11" s="59" customFormat="1" ht="15.75" customHeight="1">
      <c r="A150" s="82" t="s">
        <v>372</v>
      </c>
      <c r="B150" s="61" t="s">
        <v>50</v>
      </c>
      <c r="C150" s="273" t="s">
        <v>546</v>
      </c>
      <c r="D150" s="92">
        <v>10000</v>
      </c>
      <c r="E150" s="205">
        <f>D150</f>
        <v>10000</v>
      </c>
      <c r="F150" s="314">
        <f>5000+3000</f>
        <v>8000</v>
      </c>
      <c r="G150" s="62">
        <v>0</v>
      </c>
      <c r="H150" s="62">
        <v>0</v>
      </c>
      <c r="I150" s="62">
        <f>SUM(F150:H150)</f>
        <v>8000</v>
      </c>
      <c r="J150" s="62" t="s">
        <v>87</v>
      </c>
      <c r="K150" s="62">
        <f>E150-F150</f>
        <v>2000</v>
      </c>
    </row>
    <row r="151" spans="1:11" s="21" customFormat="1" ht="15.75" customHeight="1">
      <c r="A151" s="93" t="s">
        <v>257</v>
      </c>
      <c r="B151" s="61"/>
      <c r="C151" s="64" t="s">
        <v>256</v>
      </c>
      <c r="D151" s="65">
        <f>D145+D148</f>
        <v>35678</v>
      </c>
      <c r="E151" s="65">
        <f aca="true" t="shared" si="56" ref="E151:K151">E145+E148</f>
        <v>35678</v>
      </c>
      <c r="F151" s="318">
        <f>F145+F148</f>
        <v>29555.27</v>
      </c>
      <c r="G151" s="87">
        <f t="shared" si="56"/>
        <v>0</v>
      </c>
      <c r="H151" s="87">
        <f t="shared" si="56"/>
        <v>0</v>
      </c>
      <c r="I151" s="87">
        <f t="shared" si="56"/>
        <v>29555.27</v>
      </c>
      <c r="J151" s="87" t="e">
        <f t="shared" si="56"/>
        <v>#VALUE!</v>
      </c>
      <c r="K151" s="87">
        <f t="shared" si="56"/>
        <v>6122.729999999998</v>
      </c>
    </row>
    <row r="152" spans="1:11" s="59" customFormat="1" ht="15.75" customHeight="1" hidden="1">
      <c r="A152" s="95" t="s">
        <v>212</v>
      </c>
      <c r="B152" s="70"/>
      <c r="C152" s="80" t="s">
        <v>362</v>
      </c>
      <c r="D152" s="79">
        <f aca="true" t="shared" si="57" ref="D152:K152">SUM(D153:D153)</f>
        <v>0</v>
      </c>
      <c r="E152" s="79">
        <f t="shared" si="57"/>
        <v>0</v>
      </c>
      <c r="F152" s="316">
        <f>F153</f>
        <v>0</v>
      </c>
      <c r="G152" s="79">
        <f t="shared" si="57"/>
        <v>0</v>
      </c>
      <c r="H152" s="79">
        <f t="shared" si="57"/>
        <v>0</v>
      </c>
      <c r="I152" s="79">
        <f t="shared" si="57"/>
        <v>0</v>
      </c>
      <c r="J152" s="79">
        <f t="shared" si="57"/>
        <v>0</v>
      </c>
      <c r="K152" s="79">
        <f t="shared" si="57"/>
        <v>0</v>
      </c>
    </row>
    <row r="153" spans="1:11" s="59" customFormat="1" ht="15.75" customHeight="1" hidden="1">
      <c r="A153" s="89" t="s">
        <v>219</v>
      </c>
      <c r="B153" s="85" t="s">
        <v>50</v>
      </c>
      <c r="C153" s="273" t="s">
        <v>363</v>
      </c>
      <c r="D153" s="92">
        <v>0</v>
      </c>
      <c r="E153" s="92">
        <f>D153</f>
        <v>0</v>
      </c>
      <c r="F153" s="314">
        <v>0</v>
      </c>
      <c r="G153" s="62">
        <v>0</v>
      </c>
      <c r="H153" s="62">
        <v>0</v>
      </c>
      <c r="I153" s="62">
        <f>SUM(F153:H153)</f>
        <v>0</v>
      </c>
      <c r="J153" s="62">
        <f>D153-F153</f>
        <v>0</v>
      </c>
      <c r="K153" s="62">
        <f>E153-F153</f>
        <v>0</v>
      </c>
    </row>
    <row r="154" spans="1:11" s="59" customFormat="1" ht="15.75" customHeight="1" hidden="1">
      <c r="A154" s="93" t="s">
        <v>259</v>
      </c>
      <c r="B154" s="85"/>
      <c r="C154" s="64" t="s">
        <v>258</v>
      </c>
      <c r="D154" s="65">
        <f>D152</f>
        <v>0</v>
      </c>
      <c r="E154" s="65">
        <f>D154</f>
        <v>0</v>
      </c>
      <c r="F154" s="318">
        <f>F152</f>
        <v>0</v>
      </c>
      <c r="G154" s="87">
        <f>G152</f>
        <v>0</v>
      </c>
      <c r="H154" s="87">
        <f>H152</f>
        <v>0</v>
      </c>
      <c r="I154" s="87">
        <f>I152</f>
        <v>0</v>
      </c>
      <c r="J154" s="87">
        <f>D154-F154</f>
        <v>0</v>
      </c>
      <c r="K154" s="87">
        <f>E154-F154</f>
        <v>0</v>
      </c>
    </row>
    <row r="155" spans="1:11" s="21" customFormat="1" ht="30.75" customHeight="1">
      <c r="A155" s="232" t="s">
        <v>472</v>
      </c>
      <c r="B155" s="218"/>
      <c r="C155" s="210" t="s">
        <v>225</v>
      </c>
      <c r="D155" s="211">
        <f>D151</f>
        <v>35678</v>
      </c>
      <c r="E155" s="211">
        <f>E151</f>
        <v>35678</v>
      </c>
      <c r="F155" s="313">
        <f>F145+F148</f>
        <v>29555.27</v>
      </c>
      <c r="G155" s="211">
        <f>G151</f>
        <v>0</v>
      </c>
      <c r="H155" s="211">
        <f>H151</f>
        <v>0</v>
      </c>
      <c r="I155" s="211">
        <f>I151</f>
        <v>29555.27</v>
      </c>
      <c r="J155" s="211" t="e">
        <f>J151</f>
        <v>#VALUE!</v>
      </c>
      <c r="K155" s="211">
        <f>K151</f>
        <v>6122.729999999998</v>
      </c>
    </row>
    <row r="156" spans="1:11" s="59" customFormat="1" ht="15.75" customHeight="1" hidden="1">
      <c r="A156" s="95" t="s">
        <v>213</v>
      </c>
      <c r="B156" s="70"/>
      <c r="C156" s="80" t="s">
        <v>377</v>
      </c>
      <c r="D156" s="79">
        <f>SUM(D157:D157)</f>
        <v>109414.32</v>
      </c>
      <c r="E156" s="79">
        <f aca="true" t="shared" si="58" ref="E156:K156">SUM(E157:E157)</f>
        <v>109414.32</v>
      </c>
      <c r="F156" s="316">
        <f>F157</f>
        <v>91178.59999999998</v>
      </c>
      <c r="G156" s="79">
        <f t="shared" si="58"/>
        <v>0</v>
      </c>
      <c r="H156" s="79">
        <f t="shared" si="58"/>
        <v>0</v>
      </c>
      <c r="I156" s="79">
        <f t="shared" si="58"/>
        <v>91178.59999999998</v>
      </c>
      <c r="J156" s="79">
        <f t="shared" si="58"/>
        <v>18235.72000000003</v>
      </c>
      <c r="K156" s="79">
        <f t="shared" si="58"/>
        <v>18235.72000000003</v>
      </c>
    </row>
    <row r="157" spans="1:11" s="21" customFormat="1" ht="33" customHeight="1">
      <c r="A157" s="82" t="s">
        <v>189</v>
      </c>
      <c r="B157" s="61" t="s">
        <v>50</v>
      </c>
      <c r="C157" s="273" t="s">
        <v>548</v>
      </c>
      <c r="D157" s="92">
        <f>54800+54614.32</f>
        <v>109414.32</v>
      </c>
      <c r="E157" s="92">
        <f>D157</f>
        <v>109414.32</v>
      </c>
      <c r="F157" s="314">
        <f>72942.88+4558.93+4558.93+4558.93+4558.93</f>
        <v>91178.59999999998</v>
      </c>
      <c r="G157" s="62">
        <v>0</v>
      </c>
      <c r="H157" s="62">
        <v>0</v>
      </c>
      <c r="I157" s="62">
        <f>SUM(F157:H157)</f>
        <v>91178.59999999998</v>
      </c>
      <c r="J157" s="62">
        <f>D157-F157</f>
        <v>18235.72000000003</v>
      </c>
      <c r="K157" s="62">
        <f>E157-F157</f>
        <v>18235.72000000003</v>
      </c>
    </row>
    <row r="158" spans="1:11" s="21" customFormat="1" ht="16.5" customHeight="1" hidden="1">
      <c r="A158" s="93" t="s">
        <v>104</v>
      </c>
      <c r="B158" s="63"/>
      <c r="C158" s="64" t="s">
        <v>92</v>
      </c>
      <c r="D158" s="65">
        <f aca="true" t="shared" si="59" ref="D158:K158">D157</f>
        <v>109414.32</v>
      </c>
      <c r="E158" s="65">
        <f t="shared" si="59"/>
        <v>109414.32</v>
      </c>
      <c r="F158" s="313">
        <f>F156</f>
        <v>91178.59999999998</v>
      </c>
      <c r="G158" s="65">
        <f t="shared" si="59"/>
        <v>0</v>
      </c>
      <c r="H158" s="65">
        <f t="shared" si="59"/>
        <v>0</v>
      </c>
      <c r="I158" s="65">
        <f t="shared" si="59"/>
        <v>91178.59999999998</v>
      </c>
      <c r="J158" s="65">
        <f t="shared" si="59"/>
        <v>18235.72000000003</v>
      </c>
      <c r="K158" s="65">
        <f t="shared" si="59"/>
        <v>18235.72000000003</v>
      </c>
    </row>
    <row r="159" spans="1:11" s="59" customFormat="1" ht="17.25" customHeight="1" hidden="1">
      <c r="A159" s="95" t="s">
        <v>134</v>
      </c>
      <c r="B159" s="70"/>
      <c r="C159" s="80" t="s">
        <v>138</v>
      </c>
      <c r="D159" s="79">
        <f>SUM(D160:D160)</f>
        <v>0</v>
      </c>
      <c r="E159" s="79">
        <f aca="true" t="shared" si="60" ref="E159:K159">SUM(E160:E160)</f>
        <v>0</v>
      </c>
      <c r="F159" s="316">
        <f t="shared" si="60"/>
        <v>0</v>
      </c>
      <c r="G159" s="79">
        <f t="shared" si="60"/>
        <v>0</v>
      </c>
      <c r="H159" s="79">
        <f t="shared" si="60"/>
        <v>0</v>
      </c>
      <c r="I159" s="79">
        <f t="shared" si="60"/>
        <v>0</v>
      </c>
      <c r="J159" s="79">
        <f t="shared" si="60"/>
        <v>0</v>
      </c>
      <c r="K159" s="79">
        <f t="shared" si="60"/>
        <v>0</v>
      </c>
    </row>
    <row r="160" spans="1:11" s="21" customFormat="1" ht="19.5" customHeight="1" hidden="1">
      <c r="A160" s="60" t="s">
        <v>135</v>
      </c>
      <c r="B160" s="61" t="s">
        <v>50</v>
      </c>
      <c r="C160" s="273" t="s">
        <v>139</v>
      </c>
      <c r="D160" s="92"/>
      <c r="E160" s="92">
        <f>D160</f>
        <v>0</v>
      </c>
      <c r="F160" s="314"/>
      <c r="G160" s="62">
        <v>0</v>
      </c>
      <c r="H160" s="62">
        <v>0</v>
      </c>
      <c r="I160" s="62">
        <f>SUM(F160:H160)</f>
        <v>0</v>
      </c>
      <c r="J160" s="62">
        <f>D160-F160</f>
        <v>0</v>
      </c>
      <c r="K160" s="62">
        <f>E160-F160</f>
        <v>0</v>
      </c>
    </row>
    <row r="161" spans="1:11" s="21" customFormat="1" ht="19.5" customHeight="1" hidden="1">
      <c r="A161" s="93" t="s">
        <v>147</v>
      </c>
      <c r="B161" s="63"/>
      <c r="C161" s="64" t="s">
        <v>136</v>
      </c>
      <c r="D161" s="65">
        <f aca="true" t="shared" si="61" ref="D161:K161">D160</f>
        <v>0</v>
      </c>
      <c r="E161" s="65">
        <f t="shared" si="61"/>
        <v>0</v>
      </c>
      <c r="F161" s="313">
        <f t="shared" si="61"/>
        <v>0</v>
      </c>
      <c r="G161" s="65">
        <f t="shared" si="61"/>
        <v>0</v>
      </c>
      <c r="H161" s="65">
        <f t="shared" si="61"/>
        <v>0</v>
      </c>
      <c r="I161" s="65">
        <f t="shared" si="61"/>
        <v>0</v>
      </c>
      <c r="J161" s="65">
        <f t="shared" si="61"/>
        <v>0</v>
      </c>
      <c r="K161" s="65">
        <f t="shared" si="61"/>
        <v>0</v>
      </c>
    </row>
    <row r="162" spans="1:11" s="59" customFormat="1" ht="66.75" customHeight="1" hidden="1">
      <c r="A162" s="96" t="s">
        <v>118</v>
      </c>
      <c r="B162" s="70"/>
      <c r="C162" s="80" t="s">
        <v>119</v>
      </c>
      <c r="D162" s="79">
        <f>SUM(D163:D163)</f>
        <v>0</v>
      </c>
      <c r="E162" s="79">
        <f aca="true" t="shared" si="62" ref="E162:K162">SUM(E163:E163)</f>
        <v>0</v>
      </c>
      <c r="F162" s="316">
        <f t="shared" si="62"/>
        <v>0</v>
      </c>
      <c r="G162" s="79">
        <f t="shared" si="62"/>
        <v>0</v>
      </c>
      <c r="H162" s="79">
        <f t="shared" si="62"/>
        <v>0</v>
      </c>
      <c r="I162" s="79">
        <f t="shared" si="62"/>
        <v>0</v>
      </c>
      <c r="J162" s="79">
        <f t="shared" si="62"/>
        <v>0</v>
      </c>
      <c r="K162" s="79">
        <f t="shared" si="62"/>
        <v>0</v>
      </c>
    </row>
    <row r="163" spans="1:11" s="21" customFormat="1" ht="30" customHeight="1" hidden="1">
      <c r="A163" s="60" t="s">
        <v>60</v>
      </c>
      <c r="B163" s="61" t="s">
        <v>50</v>
      </c>
      <c r="C163" s="274" t="s">
        <v>129</v>
      </c>
      <c r="D163" s="92"/>
      <c r="E163" s="92">
        <f>D163</f>
        <v>0</v>
      </c>
      <c r="F163" s="314"/>
      <c r="G163" s="62">
        <v>0</v>
      </c>
      <c r="H163" s="62">
        <v>0</v>
      </c>
      <c r="I163" s="62">
        <f>SUM(F163:H163)</f>
        <v>0</v>
      </c>
      <c r="J163" s="62">
        <f aca="true" t="shared" si="63" ref="J163:J174">D163-F163</f>
        <v>0</v>
      </c>
      <c r="K163" s="62">
        <f>E163-F163</f>
        <v>0</v>
      </c>
    </row>
    <row r="164" spans="1:11" s="59" customFormat="1" ht="84" customHeight="1" hidden="1">
      <c r="A164" s="96" t="s">
        <v>120</v>
      </c>
      <c r="B164" s="70"/>
      <c r="C164" s="84" t="s">
        <v>121</v>
      </c>
      <c r="D164" s="79">
        <f>SUM(D165:D165)</f>
        <v>0</v>
      </c>
      <c r="E164" s="79">
        <f aca="true" t="shared" si="64" ref="E164:K164">SUM(E165:E165)</f>
        <v>0</v>
      </c>
      <c r="F164" s="316">
        <f t="shared" si="64"/>
        <v>0</v>
      </c>
      <c r="G164" s="79">
        <f t="shared" si="64"/>
        <v>0</v>
      </c>
      <c r="H164" s="79">
        <f t="shared" si="64"/>
        <v>0</v>
      </c>
      <c r="I164" s="79">
        <f t="shared" si="64"/>
        <v>0</v>
      </c>
      <c r="J164" s="79">
        <f t="shared" si="64"/>
        <v>0</v>
      </c>
      <c r="K164" s="79">
        <f t="shared" si="64"/>
        <v>0</v>
      </c>
    </row>
    <row r="165" spans="1:11" s="21" customFormat="1" ht="30" customHeight="1" hidden="1">
      <c r="A165" s="60" t="s">
        <v>60</v>
      </c>
      <c r="B165" s="61" t="s">
        <v>50</v>
      </c>
      <c r="C165" s="274" t="s">
        <v>130</v>
      </c>
      <c r="D165" s="92"/>
      <c r="E165" s="92">
        <f>D165</f>
        <v>0</v>
      </c>
      <c r="F165" s="314"/>
      <c r="G165" s="62">
        <v>0</v>
      </c>
      <c r="H165" s="62">
        <v>0</v>
      </c>
      <c r="I165" s="62">
        <f>SUM(F165:H165)</f>
        <v>0</v>
      </c>
      <c r="J165" s="62">
        <f t="shared" si="63"/>
        <v>0</v>
      </c>
      <c r="K165" s="62">
        <f>E165-F165</f>
        <v>0</v>
      </c>
    </row>
    <row r="166" spans="1:11" s="59" customFormat="1" ht="58.5" customHeight="1" hidden="1">
      <c r="A166" s="96" t="s">
        <v>122</v>
      </c>
      <c r="B166" s="70"/>
      <c r="C166" s="84" t="s">
        <v>123</v>
      </c>
      <c r="D166" s="79">
        <f>SUM(D167:D167)</f>
        <v>0</v>
      </c>
      <c r="E166" s="79">
        <f aca="true" t="shared" si="65" ref="E166:K166">SUM(E167:E167)</f>
        <v>0</v>
      </c>
      <c r="F166" s="316">
        <f t="shared" si="65"/>
        <v>0</v>
      </c>
      <c r="G166" s="79">
        <f t="shared" si="65"/>
        <v>0</v>
      </c>
      <c r="H166" s="79">
        <f t="shared" si="65"/>
        <v>0</v>
      </c>
      <c r="I166" s="79">
        <f t="shared" si="65"/>
        <v>0</v>
      </c>
      <c r="J166" s="79">
        <f t="shared" si="65"/>
        <v>0</v>
      </c>
      <c r="K166" s="79">
        <f t="shared" si="65"/>
        <v>0</v>
      </c>
    </row>
    <row r="167" spans="1:11" s="21" customFormat="1" ht="30" customHeight="1" hidden="1">
      <c r="A167" s="60" t="s">
        <v>60</v>
      </c>
      <c r="B167" s="61" t="s">
        <v>50</v>
      </c>
      <c r="C167" s="274" t="s">
        <v>131</v>
      </c>
      <c r="D167" s="92"/>
      <c r="E167" s="92">
        <f>D167</f>
        <v>0</v>
      </c>
      <c r="F167" s="314"/>
      <c r="G167" s="62">
        <v>0</v>
      </c>
      <c r="H167" s="62">
        <v>0</v>
      </c>
      <c r="I167" s="62">
        <f>SUM(F167:H167)</f>
        <v>0</v>
      </c>
      <c r="J167" s="62">
        <f t="shared" si="63"/>
        <v>0</v>
      </c>
      <c r="K167" s="62">
        <f>E167-F167</f>
        <v>0</v>
      </c>
    </row>
    <row r="168" spans="1:11" s="21" customFormat="1" ht="24.75" customHeight="1">
      <c r="A168" s="219" t="s">
        <v>268</v>
      </c>
      <c r="B168" s="219"/>
      <c r="C168" s="213" t="s">
        <v>260</v>
      </c>
      <c r="D168" s="214">
        <f>D158</f>
        <v>109414.32</v>
      </c>
      <c r="E168" s="214">
        <f>D168</f>
        <v>109414.32</v>
      </c>
      <c r="F168" s="313">
        <f>F158</f>
        <v>91178.59999999998</v>
      </c>
      <c r="G168" s="214">
        <f>G158</f>
        <v>0</v>
      </c>
      <c r="H168" s="214">
        <f>H158</f>
        <v>0</v>
      </c>
      <c r="I168" s="214">
        <f>I158</f>
        <v>91178.59999999998</v>
      </c>
      <c r="J168" s="214">
        <f>D168-F168</f>
        <v>18235.72000000003</v>
      </c>
      <c r="K168" s="214">
        <f>E168-F168</f>
        <v>18235.72000000003</v>
      </c>
    </row>
    <row r="169" spans="1:11" s="59" customFormat="1" ht="27" customHeight="1">
      <c r="A169" s="95" t="s">
        <v>276</v>
      </c>
      <c r="B169" s="61"/>
      <c r="C169" s="80" t="s">
        <v>539</v>
      </c>
      <c r="D169" s="79">
        <f>SUM(D170:D170)</f>
        <v>2000</v>
      </c>
      <c r="E169" s="79">
        <f aca="true" t="shared" si="66" ref="E169:K169">SUM(E170:E170)</f>
        <v>2000</v>
      </c>
      <c r="F169" s="316">
        <f>F170</f>
        <v>2000</v>
      </c>
      <c r="G169" s="79">
        <f t="shared" si="66"/>
        <v>0</v>
      </c>
      <c r="H169" s="79">
        <f t="shared" si="66"/>
        <v>0</v>
      </c>
      <c r="I169" s="79">
        <f t="shared" si="66"/>
        <v>2000</v>
      </c>
      <c r="J169" s="79">
        <f t="shared" si="66"/>
        <v>0</v>
      </c>
      <c r="K169" s="79">
        <f t="shared" si="66"/>
        <v>0</v>
      </c>
    </row>
    <row r="170" spans="1:11" s="21" customFormat="1" ht="27" customHeight="1">
      <c r="A170" s="89" t="s">
        <v>219</v>
      </c>
      <c r="B170" s="61" t="s">
        <v>50</v>
      </c>
      <c r="C170" s="273" t="s">
        <v>540</v>
      </c>
      <c r="D170" s="92">
        <v>2000</v>
      </c>
      <c r="E170" s="92">
        <f>D170</f>
        <v>2000</v>
      </c>
      <c r="F170" s="314">
        <v>2000</v>
      </c>
      <c r="G170" s="62">
        <v>0</v>
      </c>
      <c r="H170" s="62">
        <v>0</v>
      </c>
      <c r="I170" s="62">
        <f>SUM(F170:H170)</f>
        <v>2000</v>
      </c>
      <c r="J170" s="62">
        <f t="shared" si="63"/>
        <v>0</v>
      </c>
      <c r="K170" s="62">
        <f>E170-F170</f>
        <v>0</v>
      </c>
    </row>
    <row r="171" spans="1:11" s="59" customFormat="1" ht="40.5" customHeight="1" hidden="1">
      <c r="A171" s="96" t="s">
        <v>124</v>
      </c>
      <c r="B171" s="70"/>
      <c r="C171" s="80" t="s">
        <v>125</v>
      </c>
      <c r="D171" s="79">
        <f aca="true" t="shared" si="67" ref="D171:K171">SUM(D172:D172)</f>
        <v>0</v>
      </c>
      <c r="E171" s="79">
        <f t="shared" si="67"/>
        <v>0</v>
      </c>
      <c r="F171" s="316">
        <f t="shared" si="67"/>
        <v>0</v>
      </c>
      <c r="G171" s="79">
        <f t="shared" si="67"/>
        <v>0</v>
      </c>
      <c r="H171" s="79">
        <f t="shared" si="67"/>
        <v>0</v>
      </c>
      <c r="I171" s="79">
        <f t="shared" si="67"/>
        <v>0</v>
      </c>
      <c r="J171" s="79">
        <f t="shared" si="67"/>
        <v>0</v>
      </c>
      <c r="K171" s="79">
        <f t="shared" si="67"/>
        <v>0</v>
      </c>
    </row>
    <row r="172" spans="1:11" s="21" customFormat="1" ht="30" customHeight="1" hidden="1">
      <c r="A172" s="60" t="s">
        <v>60</v>
      </c>
      <c r="B172" s="61" t="s">
        <v>50</v>
      </c>
      <c r="C172" s="273" t="s">
        <v>132</v>
      </c>
      <c r="D172" s="92"/>
      <c r="E172" s="92">
        <f>D172</f>
        <v>0</v>
      </c>
      <c r="F172" s="314"/>
      <c r="G172" s="62">
        <v>0</v>
      </c>
      <c r="H172" s="62">
        <v>0</v>
      </c>
      <c r="I172" s="62">
        <f>SUM(F172:H172)</f>
        <v>0</v>
      </c>
      <c r="J172" s="62">
        <f t="shared" si="63"/>
        <v>0</v>
      </c>
      <c r="K172" s="62">
        <f>E172-F172</f>
        <v>0</v>
      </c>
    </row>
    <row r="173" spans="1:11" s="59" customFormat="1" ht="58.5" customHeight="1" hidden="1">
      <c r="A173" s="96" t="s">
        <v>126</v>
      </c>
      <c r="B173" s="70"/>
      <c r="C173" s="80" t="s">
        <v>127</v>
      </c>
      <c r="D173" s="79">
        <f>SUM(D174:D174)</f>
        <v>0</v>
      </c>
      <c r="E173" s="79">
        <f aca="true" t="shared" si="68" ref="E173:K173">SUM(E174:E174)</f>
        <v>0</v>
      </c>
      <c r="F173" s="316">
        <f t="shared" si="68"/>
        <v>0</v>
      </c>
      <c r="G173" s="79">
        <f t="shared" si="68"/>
        <v>0</v>
      </c>
      <c r="H173" s="79">
        <f t="shared" si="68"/>
        <v>0</v>
      </c>
      <c r="I173" s="79">
        <f t="shared" si="68"/>
        <v>0</v>
      </c>
      <c r="J173" s="79">
        <f t="shared" si="68"/>
        <v>0</v>
      </c>
      <c r="K173" s="79">
        <f t="shared" si="68"/>
        <v>0</v>
      </c>
    </row>
    <row r="174" spans="1:11" s="21" customFormat="1" ht="30" customHeight="1" hidden="1">
      <c r="A174" s="60" t="s">
        <v>60</v>
      </c>
      <c r="B174" s="61" t="s">
        <v>50</v>
      </c>
      <c r="C174" s="273" t="s">
        <v>133</v>
      </c>
      <c r="D174" s="92"/>
      <c r="E174" s="92">
        <f>D174</f>
        <v>0</v>
      </c>
      <c r="F174" s="314">
        <v>0</v>
      </c>
      <c r="G174" s="62">
        <v>0</v>
      </c>
      <c r="H174" s="62">
        <v>0</v>
      </c>
      <c r="I174" s="62">
        <f>SUM(F174:H174)</f>
        <v>0</v>
      </c>
      <c r="J174" s="62">
        <f t="shared" si="63"/>
        <v>0</v>
      </c>
      <c r="K174" s="62">
        <f>E174-F174</f>
        <v>0</v>
      </c>
    </row>
    <row r="175" spans="1:11" s="21" customFormat="1" ht="18.75" customHeight="1" hidden="1">
      <c r="A175" s="93" t="s">
        <v>220</v>
      </c>
      <c r="B175" s="63"/>
      <c r="C175" s="64" t="s">
        <v>221</v>
      </c>
      <c r="D175" s="65">
        <f>D162+D164+D166+D169+D171+D173</f>
        <v>2000</v>
      </c>
      <c r="E175" s="65">
        <f aca="true" t="shared" si="69" ref="E175:K175">E162+E164+E166++E169+E171+E173</f>
        <v>2000</v>
      </c>
      <c r="F175" s="313">
        <f>F169</f>
        <v>2000</v>
      </c>
      <c r="G175" s="65">
        <f t="shared" si="69"/>
        <v>0</v>
      </c>
      <c r="H175" s="65">
        <f t="shared" si="69"/>
        <v>0</v>
      </c>
      <c r="I175" s="65">
        <f t="shared" si="69"/>
        <v>2000</v>
      </c>
      <c r="J175" s="65">
        <f t="shared" si="69"/>
        <v>0</v>
      </c>
      <c r="K175" s="65">
        <f t="shared" si="69"/>
        <v>0</v>
      </c>
    </row>
    <row r="176" spans="1:11" s="21" customFormat="1" ht="25.5" customHeight="1">
      <c r="A176" s="219" t="s">
        <v>267</v>
      </c>
      <c r="B176" s="215"/>
      <c r="C176" s="213" t="s">
        <v>261</v>
      </c>
      <c r="D176" s="214">
        <f>D175</f>
        <v>2000</v>
      </c>
      <c r="E176" s="214">
        <f>D176</f>
        <v>2000</v>
      </c>
      <c r="F176" s="313">
        <f>F175</f>
        <v>2000</v>
      </c>
      <c r="G176" s="214">
        <f>G175</f>
        <v>0</v>
      </c>
      <c r="H176" s="214">
        <f>H175</f>
        <v>0</v>
      </c>
      <c r="I176" s="214">
        <f>I175</f>
        <v>2000</v>
      </c>
      <c r="J176" s="214">
        <f>D176-F176</f>
        <v>0</v>
      </c>
      <c r="K176" s="214">
        <f>E176-F176</f>
        <v>0</v>
      </c>
    </row>
    <row r="177" spans="1:11" s="21" customFormat="1" ht="3.75" customHeight="1">
      <c r="A177" s="83"/>
      <c r="B177" s="63"/>
      <c r="C177" s="64"/>
      <c r="D177" s="65"/>
      <c r="E177" s="65"/>
      <c r="F177" s="313"/>
      <c r="G177" s="65"/>
      <c r="H177" s="65"/>
      <c r="I177" s="65"/>
      <c r="J177" s="65"/>
      <c r="K177" s="65"/>
    </row>
    <row r="178" spans="1:11" s="21" customFormat="1" ht="30" customHeight="1">
      <c r="A178" s="60" t="s">
        <v>61</v>
      </c>
      <c r="B178" s="61" t="s">
        <v>62</v>
      </c>
      <c r="C178" s="273" t="s">
        <v>63</v>
      </c>
      <c r="D178" s="92">
        <f>'1. Доходы бюджета (1.12)'!D16-'2. Расходы бюджета (1.12)'!D7</f>
        <v>-837674.3199999998</v>
      </c>
      <c r="E178" s="92">
        <f>'1. Доходы бюджета (1.12)'!D16-'2. Расходы бюджета (1.12)'!E7</f>
        <v>-837674.3199999998</v>
      </c>
      <c r="F178" s="314">
        <f>'1. Доходы бюджета (1.12)'!E16-'2. Расходы бюджета (1.12)'!F7</f>
        <v>-437514.4200000004</v>
      </c>
      <c r="G178" s="62" t="e">
        <f>'1. Доходы бюджета (1.12)'!F16-'2. Расходы бюджета (1.12)'!G7</f>
        <v>#REF!</v>
      </c>
      <c r="H178" s="62" t="e">
        <f>'1. Доходы бюджета (1.12)'!G16-'2. Расходы бюджета (1.12)'!H7</f>
        <v>#REF!</v>
      </c>
      <c r="I178" s="62" t="e">
        <f>'1. Доходы бюджета (1.12)'!H16-'2. Расходы бюджета (1.12)'!I7</f>
        <v>#REF!</v>
      </c>
      <c r="J178" s="62">
        <f>D178-F178</f>
        <v>-400159.89999999944</v>
      </c>
      <c r="K178" s="62">
        <f>E178-F178</f>
        <v>-400159.89999999944</v>
      </c>
    </row>
    <row r="179" spans="3:9" s="20" customFormat="1" ht="6" customHeight="1">
      <c r="C179" s="29"/>
      <c r="D179" s="29"/>
      <c r="E179" s="29"/>
      <c r="F179" s="29"/>
      <c r="G179" s="29"/>
      <c r="H179" s="30"/>
      <c r="I179" s="29"/>
    </row>
  </sheetData>
  <sheetProtection/>
  <mergeCells count="13">
    <mergeCell ref="G4:G5"/>
    <mergeCell ref="H4:H5"/>
    <mergeCell ref="E4:E5"/>
    <mergeCell ref="I4:I5"/>
    <mergeCell ref="J4:J5"/>
    <mergeCell ref="K4:K5"/>
    <mergeCell ref="D2:E2"/>
    <mergeCell ref="A1:K1"/>
    <mergeCell ref="A4:A5"/>
    <mergeCell ref="B4:B5"/>
    <mergeCell ref="C4:C5"/>
    <mergeCell ref="D4:D5"/>
    <mergeCell ref="F4:F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7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5" t="s">
        <v>23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01.12.2023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52" t="s">
        <v>4</v>
      </c>
      <c r="B6" s="354" t="s">
        <v>5</v>
      </c>
      <c r="C6" s="354" t="s">
        <v>28</v>
      </c>
      <c r="D6" s="355" t="s">
        <v>29</v>
      </c>
      <c r="E6" s="355"/>
      <c r="F6" s="355"/>
      <c r="G6" s="355"/>
      <c r="H6" s="355"/>
      <c r="I6" s="355"/>
      <c r="J6" s="355"/>
      <c r="K6" s="355"/>
      <c r="L6" s="348" t="s">
        <v>15</v>
      </c>
      <c r="M6" s="348"/>
      <c r="N6" s="348"/>
      <c r="O6" s="348"/>
      <c r="P6" s="348"/>
      <c r="Q6" s="348"/>
      <c r="R6" s="348"/>
      <c r="S6" s="348"/>
    </row>
    <row r="7" spans="1:19" s="14" customFormat="1" ht="107.25" customHeight="1">
      <c r="A7" s="353"/>
      <c r="B7" s="332"/>
      <c r="C7" s="332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837674.3199999998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437514.4200000004</v>
      </c>
      <c r="M9" s="56">
        <f aca="true" t="shared" si="1" ref="M9:R9">M12</f>
        <v>437514.4200000004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437514.4200000004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400</v>
      </c>
      <c r="D12" s="56">
        <f>-'2. Расходы бюджета (1.12)'!D178</f>
        <v>837674.3199999998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437514.4200000004</v>
      </c>
      <c r="M12" s="56">
        <f t="shared" si="2"/>
        <v>437514.4200000004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437514.4200000004</v>
      </c>
      <c r="S12" s="56">
        <v>0</v>
      </c>
    </row>
    <row r="13" spans="1:19" s="20" customFormat="1" ht="36.75">
      <c r="A13" s="53" t="s">
        <v>404</v>
      </c>
      <c r="B13" s="54" t="s">
        <v>73</v>
      </c>
      <c r="C13" s="55" t="s">
        <v>402</v>
      </c>
      <c r="D13" s="56">
        <f>D14</f>
        <v>-3646206.81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-3471777.9699999997</v>
      </c>
      <c r="M13" s="56">
        <f t="shared" si="3"/>
        <v>-3471777.9699999997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-3471777.9699999997</v>
      </c>
      <c r="S13" s="56">
        <v>0</v>
      </c>
    </row>
    <row r="14" spans="1:19" s="21" customFormat="1" ht="34.5" customHeight="1">
      <c r="A14" s="350" t="s">
        <v>403</v>
      </c>
      <c r="B14" s="351"/>
      <c r="C14" s="57" t="s">
        <v>401</v>
      </c>
      <c r="D14" s="239">
        <f>-'1. Доходы бюджета (1.12)'!D16</f>
        <v>-3646206.81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-3471777.9699999997</v>
      </c>
      <c r="M14" s="56">
        <f>-'1. Доходы бюджета (1.12)'!E16</f>
        <v>-3471777.9699999997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-3471777.9699999997</v>
      </c>
      <c r="S14" s="58">
        <v>0</v>
      </c>
    </row>
    <row r="15" spans="1:19" s="20" customFormat="1" ht="36.75">
      <c r="A15" s="53" t="s">
        <v>405</v>
      </c>
      <c r="B15" s="54" t="s">
        <v>74</v>
      </c>
      <c r="C15" s="55" t="s">
        <v>408</v>
      </c>
      <c r="D15" s="240">
        <f>D16</f>
        <v>4483881.13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3909292.39</v>
      </c>
      <c r="M15" s="56">
        <f aca="true" t="shared" si="5" ref="M15:R15">M16</f>
        <v>3909292.39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3909292.39</v>
      </c>
      <c r="S15" s="56">
        <v>0</v>
      </c>
    </row>
    <row r="16" spans="1:19" s="21" customFormat="1" ht="34.5" customHeight="1">
      <c r="A16" s="350" t="s">
        <v>406</v>
      </c>
      <c r="B16" s="351"/>
      <c r="C16" s="57" t="s">
        <v>407</v>
      </c>
      <c r="D16" s="58">
        <f>'2. Расходы бюджета (1.12)'!D7</f>
        <v>4483881.13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3909292.39</v>
      </c>
      <c r="M16" s="58">
        <f>'2. Расходы бюджета (1.12)'!F7</f>
        <v>3909292.39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3909292.39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49" t="s">
        <v>542</v>
      </c>
      <c r="B22" s="349"/>
      <c r="C22" s="349"/>
      <c r="D22" s="349"/>
      <c r="E22" s="349"/>
      <c r="F22" s="349"/>
      <c r="G22" s="349"/>
      <c r="H22" s="349"/>
      <c r="I22" s="349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A2:S2"/>
    <mergeCell ref="A6:A7"/>
    <mergeCell ref="B6:B7"/>
    <mergeCell ref="C6:C7"/>
    <mergeCell ref="D6:K6"/>
    <mergeCell ref="L6:S6"/>
    <mergeCell ref="G22:I22"/>
    <mergeCell ref="A14:B14"/>
    <mergeCell ref="A16:B16"/>
    <mergeCell ref="A22:C22"/>
    <mergeCell ref="D22:F22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="84" zoomScaleNormal="84" zoomScalePageLayoutView="0" workbookViewId="0" topLeftCell="A31">
      <selection activeCell="AV36" sqref="AV36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5.37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9.6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6" max="46" width="21.625" style="0" customWidth="1"/>
    <col min="49" max="49" width="11.875" style="0" bestFit="1" customWidth="1"/>
  </cols>
  <sheetData>
    <row r="1" spans="1:44" ht="15.75" customHeight="1">
      <c r="A1" s="103"/>
      <c r="B1" s="386"/>
      <c r="C1" s="104"/>
      <c r="D1" s="104"/>
      <c r="E1" s="104"/>
      <c r="F1" s="104"/>
      <c r="G1" s="104"/>
      <c r="H1" s="104"/>
      <c r="I1" s="104"/>
      <c r="J1" s="104"/>
      <c r="K1" s="387" t="s">
        <v>280</v>
      </c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Q1" s="106"/>
      <c r="AR1" s="106"/>
    </row>
    <row r="2" spans="1:44" ht="46.5" customHeight="1" thickBot="1">
      <c r="A2" s="103"/>
      <c r="B2" s="365"/>
      <c r="C2" s="104"/>
      <c r="D2" s="104"/>
      <c r="E2" s="104"/>
      <c r="F2" s="104"/>
      <c r="G2" s="104"/>
      <c r="H2" s="104"/>
      <c r="I2" s="104"/>
      <c r="J2" s="104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M2" s="104"/>
      <c r="AN2" s="104"/>
      <c r="AO2" s="104"/>
      <c r="AP2" s="104"/>
      <c r="AQ2" s="389" t="s">
        <v>0</v>
      </c>
      <c r="AR2" s="389"/>
    </row>
    <row r="3" spans="1:44" ht="15.75">
      <c r="A3" s="108"/>
      <c r="B3" s="365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90"/>
      <c r="X3" s="390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91" t="s">
        <v>281</v>
      </c>
      <c r="AR3" s="392"/>
    </row>
    <row r="4" spans="1:44" ht="15">
      <c r="A4" s="103"/>
      <c r="B4" s="107"/>
      <c r="C4" s="105"/>
      <c r="D4" s="105"/>
      <c r="X4" s="111" t="str">
        <f>'1. Доходы бюджета (1.12)'!C4</f>
        <v>на 01.12.2023 года</v>
      </c>
      <c r="AN4" s="110" t="s">
        <v>2</v>
      </c>
      <c r="AO4" s="110"/>
      <c r="AP4" s="110"/>
      <c r="AQ4" s="384" t="str">
        <f>X4</f>
        <v>на 01.12.2023 года</v>
      </c>
      <c r="AR4" s="385"/>
    </row>
    <row r="5" spans="1:44" ht="15">
      <c r="A5" s="103" t="s">
        <v>282</v>
      </c>
      <c r="B5" s="112"/>
      <c r="C5" s="109"/>
      <c r="D5" s="109"/>
      <c r="E5" s="204"/>
      <c r="F5" s="204"/>
      <c r="G5" s="204" t="s">
        <v>433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80" t="s">
        <v>283</v>
      </c>
      <c r="AA5" s="380"/>
      <c r="AB5" s="380"/>
      <c r="AC5" s="106"/>
      <c r="AD5" s="106"/>
      <c r="AE5" s="106"/>
      <c r="AF5" s="106"/>
      <c r="AG5" s="106"/>
      <c r="AN5" s="110" t="s">
        <v>283</v>
      </c>
      <c r="AO5" s="110"/>
      <c r="AP5" s="110"/>
      <c r="AQ5" s="384">
        <v>78612856</v>
      </c>
      <c r="AR5" s="385"/>
    </row>
    <row r="6" spans="1:44" ht="15">
      <c r="A6" s="103" t="s">
        <v>284</v>
      </c>
      <c r="B6" s="112"/>
      <c r="C6" s="109"/>
      <c r="D6" s="109"/>
      <c r="E6" s="204" t="s">
        <v>434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80" t="s">
        <v>285</v>
      </c>
      <c r="AB6" s="380"/>
      <c r="AC6" s="113"/>
      <c r="AD6" s="113"/>
      <c r="AE6" s="113"/>
      <c r="AF6" s="113"/>
      <c r="AG6" s="113"/>
      <c r="AN6" s="110" t="s">
        <v>286</v>
      </c>
      <c r="AO6" s="110"/>
      <c r="AP6" s="110"/>
      <c r="AQ6" s="384">
        <v>15626432</v>
      </c>
      <c r="AR6" s="385"/>
    </row>
    <row r="7" spans="1:44" ht="12.75">
      <c r="A7" s="103" t="s">
        <v>287</v>
      </c>
      <c r="B7" s="112"/>
      <c r="C7" s="105"/>
      <c r="D7" s="105"/>
      <c r="T7" s="107"/>
      <c r="U7" s="107"/>
      <c r="V7" s="107"/>
      <c r="W7" s="379"/>
      <c r="X7" s="379"/>
      <c r="Y7" s="109"/>
      <c r="Z7" s="109"/>
      <c r="AA7" s="109"/>
      <c r="AB7" s="109"/>
      <c r="AC7" s="109"/>
      <c r="AN7" s="110"/>
      <c r="AO7" s="110"/>
      <c r="AP7" s="110"/>
      <c r="AQ7" s="384"/>
      <c r="AR7" s="385"/>
    </row>
    <row r="8" spans="1:44" ht="13.5" thickBot="1">
      <c r="A8" s="103" t="s">
        <v>288</v>
      </c>
      <c r="B8" s="112"/>
      <c r="C8" s="105"/>
      <c r="D8" s="105"/>
      <c r="T8" s="107"/>
      <c r="U8" s="107"/>
      <c r="V8" s="107"/>
      <c r="W8" s="379"/>
      <c r="X8" s="379"/>
      <c r="Y8" s="109"/>
      <c r="Z8" s="380" t="s">
        <v>3</v>
      </c>
      <c r="AA8" s="380"/>
      <c r="AB8" s="380"/>
      <c r="AC8" s="109"/>
      <c r="AN8" s="110" t="s">
        <v>3</v>
      </c>
      <c r="AO8" s="110"/>
      <c r="AP8" s="110"/>
      <c r="AQ8" s="375">
        <v>383</v>
      </c>
      <c r="AR8" s="376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81" t="s">
        <v>289</v>
      </c>
      <c r="B10" s="356" t="s">
        <v>5</v>
      </c>
      <c r="C10" s="359" t="s">
        <v>290</v>
      </c>
      <c r="D10" s="359"/>
      <c r="E10" s="361" t="s">
        <v>291</v>
      </c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3"/>
      <c r="Y10" s="361" t="s">
        <v>15</v>
      </c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3"/>
    </row>
    <row r="11" spans="1:44" ht="12.75">
      <c r="A11" s="382"/>
      <c r="B11" s="357"/>
      <c r="C11" s="360"/>
      <c r="D11" s="360"/>
      <c r="E11" s="368" t="s">
        <v>292</v>
      </c>
      <c r="F11" s="377"/>
      <c r="G11" s="368" t="s">
        <v>293</v>
      </c>
      <c r="H11" s="378"/>
      <c r="I11" s="368" t="s">
        <v>78</v>
      </c>
      <c r="J11" s="369"/>
      <c r="K11" s="370" t="s">
        <v>294</v>
      </c>
      <c r="L11" s="371"/>
      <c r="M11" s="370" t="s">
        <v>80</v>
      </c>
      <c r="N11" s="371"/>
      <c r="O11" s="370" t="s">
        <v>295</v>
      </c>
      <c r="P11" s="371"/>
      <c r="Q11" s="370" t="s">
        <v>296</v>
      </c>
      <c r="R11" s="374"/>
      <c r="S11" s="370" t="s">
        <v>81</v>
      </c>
      <c r="T11" s="371"/>
      <c r="U11" s="370" t="s">
        <v>297</v>
      </c>
      <c r="V11" s="371"/>
      <c r="W11" s="370" t="s">
        <v>298</v>
      </c>
      <c r="X11" s="371"/>
      <c r="Y11" s="368" t="s">
        <v>292</v>
      </c>
      <c r="Z11" s="377"/>
      <c r="AA11" s="368" t="s">
        <v>293</v>
      </c>
      <c r="AB11" s="378"/>
      <c r="AC11" s="368" t="s">
        <v>78</v>
      </c>
      <c r="AD11" s="369"/>
      <c r="AE11" s="370" t="s">
        <v>294</v>
      </c>
      <c r="AF11" s="371"/>
      <c r="AG11" s="370" t="s">
        <v>80</v>
      </c>
      <c r="AH11" s="371"/>
      <c r="AI11" s="370" t="s">
        <v>295</v>
      </c>
      <c r="AJ11" s="371"/>
      <c r="AK11" s="370" t="s">
        <v>296</v>
      </c>
      <c r="AL11" s="374"/>
      <c r="AM11" s="370" t="s">
        <v>81</v>
      </c>
      <c r="AN11" s="371"/>
      <c r="AO11" s="370" t="s">
        <v>297</v>
      </c>
      <c r="AP11" s="371"/>
      <c r="AQ11" s="370" t="s">
        <v>298</v>
      </c>
      <c r="AR11" s="371"/>
    </row>
    <row r="12" spans="1:44" ht="113.25" customHeight="1">
      <c r="A12" s="383"/>
      <c r="B12" s="358"/>
      <c r="C12" s="117" t="s">
        <v>299</v>
      </c>
      <c r="D12" s="117" t="s">
        <v>300</v>
      </c>
      <c r="E12" s="118" t="s">
        <v>301</v>
      </c>
      <c r="F12" s="119" t="s">
        <v>302</v>
      </c>
      <c r="G12" s="118" t="s">
        <v>301</v>
      </c>
      <c r="H12" s="119" t="s">
        <v>302</v>
      </c>
      <c r="I12" s="118" t="s">
        <v>301</v>
      </c>
      <c r="J12" s="119" t="s">
        <v>302</v>
      </c>
      <c r="K12" s="118" t="s">
        <v>301</v>
      </c>
      <c r="L12" s="119" t="s">
        <v>302</v>
      </c>
      <c r="M12" s="118" t="s">
        <v>301</v>
      </c>
      <c r="N12" s="119" t="s">
        <v>302</v>
      </c>
      <c r="O12" s="118" t="s">
        <v>301</v>
      </c>
      <c r="P12" s="119" t="s">
        <v>302</v>
      </c>
      <c r="Q12" s="118" t="s">
        <v>301</v>
      </c>
      <c r="R12" s="116" t="s">
        <v>302</v>
      </c>
      <c r="S12" s="118" t="s">
        <v>301</v>
      </c>
      <c r="T12" s="119" t="s">
        <v>302</v>
      </c>
      <c r="U12" s="118" t="s">
        <v>301</v>
      </c>
      <c r="V12" s="119" t="s">
        <v>302</v>
      </c>
      <c r="W12" s="118" t="s">
        <v>301</v>
      </c>
      <c r="X12" s="119" t="s">
        <v>302</v>
      </c>
      <c r="Y12" s="118" t="s">
        <v>301</v>
      </c>
      <c r="Z12" s="119" t="s">
        <v>302</v>
      </c>
      <c r="AA12" s="118" t="s">
        <v>301</v>
      </c>
      <c r="AB12" s="119" t="s">
        <v>302</v>
      </c>
      <c r="AC12" s="118" t="s">
        <v>301</v>
      </c>
      <c r="AD12" s="119" t="s">
        <v>302</v>
      </c>
      <c r="AE12" s="118" t="s">
        <v>301</v>
      </c>
      <c r="AF12" s="119" t="s">
        <v>302</v>
      </c>
      <c r="AG12" s="118" t="s">
        <v>301</v>
      </c>
      <c r="AH12" s="119" t="s">
        <v>302</v>
      </c>
      <c r="AI12" s="118" t="s">
        <v>301</v>
      </c>
      <c r="AJ12" s="119" t="s">
        <v>302</v>
      </c>
      <c r="AK12" s="118" t="s">
        <v>301</v>
      </c>
      <c r="AL12" s="116" t="s">
        <v>302</v>
      </c>
      <c r="AM12" s="118" t="s">
        <v>301</v>
      </c>
      <c r="AN12" s="119" t="s">
        <v>302</v>
      </c>
      <c r="AO12" s="118" t="s">
        <v>301</v>
      </c>
      <c r="AP12" s="119" t="s">
        <v>302</v>
      </c>
      <c r="AQ12" s="118" t="s">
        <v>301</v>
      </c>
      <c r="AR12" s="119" t="s">
        <v>302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72" t="s">
        <v>303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372"/>
      <c r="AN14" s="372"/>
      <c r="AO14" s="372"/>
      <c r="AP14" s="372"/>
      <c r="AQ14" s="372"/>
      <c r="AR14" s="373"/>
    </row>
    <row r="15" spans="1:44" ht="51">
      <c r="A15" s="122" t="s">
        <v>311</v>
      </c>
      <c r="B15" s="123" t="s">
        <v>312</v>
      </c>
      <c r="C15" s="123" t="s">
        <v>304</v>
      </c>
      <c r="D15" s="124" t="s">
        <v>305</v>
      </c>
      <c r="E15" s="125">
        <f>W15-G15</f>
        <v>1820943.9599999997</v>
      </c>
      <c r="F15" s="126">
        <f>X15</f>
        <v>114948.95999999999</v>
      </c>
      <c r="G15" s="126"/>
      <c r="H15" s="127"/>
      <c r="I15" s="127" t="s">
        <v>306</v>
      </c>
      <c r="J15" s="127" t="s">
        <v>306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(1.12)'!D68-'2. Расходы бюджета (1.12)'!D34-'2. Расходы бюджета (1.12)'!D38</f>
        <v>1820943.9599999997</v>
      </c>
      <c r="X15" s="126">
        <f>'2. Расходы бюджета (1.12)'!E80</f>
        <v>114948.95999999999</v>
      </c>
      <c r="Y15" s="126">
        <f>AQ15-AA15</f>
        <v>1480773.64</v>
      </c>
      <c r="Z15" s="126">
        <f>AR15</f>
        <v>91829.70999999999</v>
      </c>
      <c r="AA15" s="126"/>
      <c r="AB15" s="126"/>
      <c r="AC15" s="126" t="s">
        <v>306</v>
      </c>
      <c r="AD15" s="126" t="s">
        <v>306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(1.12)'!F76-'2. Расходы бюджета (1.12)'!F34-'2. Расходы бюджета (1.12)'!F38</f>
        <v>1480773.64</v>
      </c>
      <c r="AR15" s="126">
        <f>'2. Расходы бюджета (1.12)'!F68</f>
        <v>91829.70999999999</v>
      </c>
    </row>
    <row r="16" spans="1:44" ht="18">
      <c r="A16" s="128" t="s">
        <v>307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313</v>
      </c>
      <c r="B17" s="136" t="s">
        <v>314</v>
      </c>
      <c r="C17" s="136" t="s">
        <v>304</v>
      </c>
      <c r="D17" s="136" t="s">
        <v>309</v>
      </c>
      <c r="E17" s="137">
        <f aca="true" t="shared" si="0" ref="E17:F19">W17</f>
        <v>901955</v>
      </c>
      <c r="F17" s="138">
        <f t="shared" si="0"/>
        <v>80592</v>
      </c>
      <c r="G17" s="138"/>
      <c r="H17" s="138"/>
      <c r="I17" s="138" t="s">
        <v>306</v>
      </c>
      <c r="J17" s="138" t="s">
        <v>306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(1.12)'!E69+'2. Расходы бюджета (1.12)'!D14+'2. Расходы бюджета (1.12)'!D70+'2. Расходы бюджета (1.12)'!D10</f>
        <v>901955</v>
      </c>
      <c r="X17" s="138">
        <f>'2. Расходы бюджета (1.12)'!D69+'2. Расходы бюджета (1.12)'!D70</f>
        <v>80592</v>
      </c>
      <c r="Y17" s="138">
        <f aca="true" t="shared" si="1" ref="Y17:Z19">AQ17</f>
        <v>759930.6199999999</v>
      </c>
      <c r="Z17" s="138">
        <f t="shared" si="1"/>
        <v>71415.45999999999</v>
      </c>
      <c r="AA17" s="138"/>
      <c r="AB17" s="138"/>
      <c r="AC17" s="138" t="s">
        <v>306</v>
      </c>
      <c r="AD17" s="138" t="s">
        <v>306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(1.12)'!F69+'2. Расходы бюджета (1.12)'!F70+'2. Расходы бюджета (1.12)'!F10</f>
        <v>759930.6199999999</v>
      </c>
      <c r="AR17" s="138">
        <f>'2. Расходы бюджета (1.12)'!F69+'2. Расходы бюджета (1.12)'!F70</f>
        <v>71415.45999999999</v>
      </c>
    </row>
    <row r="18" spans="1:44" ht="114.75">
      <c r="A18" s="139" t="s">
        <v>315</v>
      </c>
      <c r="B18" s="140" t="s">
        <v>316</v>
      </c>
      <c r="C18" s="140" t="s">
        <v>304</v>
      </c>
      <c r="D18" s="140" t="s">
        <v>310</v>
      </c>
      <c r="E18" s="137">
        <f t="shared" si="0"/>
        <v>272391</v>
      </c>
      <c r="F18" s="138">
        <f t="shared" si="0"/>
        <v>24339</v>
      </c>
      <c r="G18" s="138"/>
      <c r="H18" s="138"/>
      <c r="I18" s="138" t="s">
        <v>306</v>
      </c>
      <c r="J18" s="138" t="s">
        <v>306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(1.12)'!E72</f>
        <v>272391</v>
      </c>
      <c r="X18" s="138">
        <f>'2. Расходы бюджета (1.12)'!D72</f>
        <v>24339</v>
      </c>
      <c r="Y18" s="138">
        <f t="shared" si="1"/>
        <v>212464.09</v>
      </c>
      <c r="Z18" s="138">
        <f t="shared" si="1"/>
        <v>20414.25</v>
      </c>
      <c r="AA18" s="138"/>
      <c r="AB18" s="138"/>
      <c r="AC18" s="138" t="s">
        <v>306</v>
      </c>
      <c r="AD18" s="138" t="s">
        <v>306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(1.12)'!F72</f>
        <v>212464.09</v>
      </c>
      <c r="AR18" s="138">
        <f>'2. Расходы бюджета (1.12)'!F72</f>
        <v>20414.25</v>
      </c>
    </row>
    <row r="19" spans="1:44" ht="127.5">
      <c r="A19" s="141" t="s">
        <v>317</v>
      </c>
      <c r="B19" s="142" t="s">
        <v>318</v>
      </c>
      <c r="C19" s="142" t="s">
        <v>304</v>
      </c>
      <c r="D19" s="142" t="s">
        <v>305</v>
      </c>
      <c r="E19" s="143">
        <f t="shared" si="0"/>
        <v>114948.95999999999</v>
      </c>
      <c r="F19" s="144">
        <f t="shared" si="0"/>
        <v>114948.95999999999</v>
      </c>
      <c r="G19" s="144"/>
      <c r="H19" s="144"/>
      <c r="I19" s="144" t="s">
        <v>306</v>
      </c>
      <c r="J19" s="144" t="s">
        <v>306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114948.95999999999</v>
      </c>
      <c r="X19" s="144">
        <f>X15</f>
        <v>114948.95999999999</v>
      </c>
      <c r="Y19" s="144">
        <f t="shared" si="1"/>
        <v>91829.70999999999</v>
      </c>
      <c r="Z19" s="144">
        <f t="shared" si="1"/>
        <v>91829.70999999999</v>
      </c>
      <c r="AA19" s="144"/>
      <c r="AB19" s="144"/>
      <c r="AC19" s="144" t="s">
        <v>306</v>
      </c>
      <c r="AD19" s="144" t="s">
        <v>306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91829.70999999999</v>
      </c>
      <c r="AR19" s="144">
        <f>AQ19</f>
        <v>91829.70999999999</v>
      </c>
    </row>
    <row r="20" spans="1:44" ht="18">
      <c r="A20" s="128" t="s">
        <v>307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319</v>
      </c>
      <c r="B21" s="147" t="s">
        <v>320</v>
      </c>
      <c r="C21" s="136" t="s">
        <v>304</v>
      </c>
      <c r="D21" s="136" t="s">
        <v>309</v>
      </c>
      <c r="E21" s="137">
        <f aca="true" t="shared" si="2" ref="E21:F23">W21</f>
        <v>80592</v>
      </c>
      <c r="F21" s="138">
        <f>X21</f>
        <v>80592</v>
      </c>
      <c r="G21" s="138"/>
      <c r="H21" s="138"/>
      <c r="I21" s="138" t="s">
        <v>306</v>
      </c>
      <c r="J21" s="138" t="s">
        <v>306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80592</v>
      </c>
      <c r="X21" s="138">
        <f>'2. Расходы бюджета (1.12)'!E69+'2. Расходы бюджета (1.12)'!E70</f>
        <v>80592</v>
      </c>
      <c r="Y21" s="138">
        <f aca="true" t="shared" si="3" ref="Y21:Z26">AQ21</f>
        <v>71415.45999999999</v>
      </c>
      <c r="Z21" s="138">
        <f t="shared" si="3"/>
        <v>71415.45999999999</v>
      </c>
      <c r="AA21" s="138"/>
      <c r="AB21" s="138"/>
      <c r="AC21" s="138" t="s">
        <v>306</v>
      </c>
      <c r="AD21" s="138" t="s">
        <v>306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71415.45999999999</v>
      </c>
      <c r="AR21" s="138">
        <f>AR17</f>
        <v>71415.45999999999</v>
      </c>
    </row>
    <row r="22" spans="1:44" ht="114.75">
      <c r="A22" s="148" t="s">
        <v>321</v>
      </c>
      <c r="B22" s="149" t="s">
        <v>322</v>
      </c>
      <c r="C22" s="149" t="s">
        <v>304</v>
      </c>
      <c r="D22" s="149" t="s">
        <v>310</v>
      </c>
      <c r="E22" s="137">
        <f t="shared" si="2"/>
        <v>24339</v>
      </c>
      <c r="F22" s="137">
        <f t="shared" si="2"/>
        <v>24339</v>
      </c>
      <c r="G22" s="137"/>
      <c r="H22" s="137"/>
      <c r="I22" s="137" t="s">
        <v>306</v>
      </c>
      <c r="J22" s="137" t="s">
        <v>306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24339</v>
      </c>
      <c r="X22" s="138">
        <f>'2. Расходы бюджета (1.12)'!E72</f>
        <v>24339</v>
      </c>
      <c r="Y22" s="138">
        <f t="shared" si="3"/>
        <v>20414.25</v>
      </c>
      <c r="Z22" s="138">
        <f t="shared" si="3"/>
        <v>20414.25</v>
      </c>
      <c r="AA22" s="138"/>
      <c r="AB22" s="138"/>
      <c r="AC22" s="138" t="s">
        <v>306</v>
      </c>
      <c r="AD22" s="138" t="s">
        <v>306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20414.25</v>
      </c>
      <c r="AR22" s="138">
        <f>AR18</f>
        <v>20414.25</v>
      </c>
    </row>
    <row r="23" spans="1:44" ht="76.5">
      <c r="A23" s="141" t="s">
        <v>324</v>
      </c>
      <c r="B23" s="142" t="s">
        <v>325</v>
      </c>
      <c r="C23" s="142" t="s">
        <v>326</v>
      </c>
      <c r="D23" s="142" t="s">
        <v>305</v>
      </c>
      <c r="E23" s="143">
        <f t="shared" si="2"/>
        <v>114948.95999999999</v>
      </c>
      <c r="F23" s="143">
        <f t="shared" si="2"/>
        <v>114948.95999999999</v>
      </c>
      <c r="G23" s="118" t="s">
        <v>306</v>
      </c>
      <c r="H23" s="118" t="s">
        <v>306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114948.95999999999</v>
      </c>
      <c r="X23" s="144">
        <f>X19</f>
        <v>114948.95999999999</v>
      </c>
      <c r="Y23" s="144">
        <f t="shared" si="3"/>
        <v>91829.70999999999</v>
      </c>
      <c r="Z23" s="144">
        <f t="shared" si="3"/>
        <v>91829.70999999999</v>
      </c>
      <c r="AA23" s="144" t="s">
        <v>306</v>
      </c>
      <c r="AB23" s="144" t="s">
        <v>306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91829.70999999999</v>
      </c>
      <c r="AR23" s="144">
        <f>AQ23</f>
        <v>91829.70999999999</v>
      </c>
    </row>
    <row r="24" spans="1:44" ht="51">
      <c r="A24" s="148" t="s">
        <v>308</v>
      </c>
      <c r="B24" s="149" t="s">
        <v>327</v>
      </c>
      <c r="C24" s="149" t="s">
        <v>326</v>
      </c>
      <c r="D24" s="149" t="s">
        <v>309</v>
      </c>
      <c r="E24" s="137">
        <f>F24</f>
        <v>80592</v>
      </c>
      <c r="F24" s="137">
        <f>X24</f>
        <v>80592</v>
      </c>
      <c r="G24" s="137" t="s">
        <v>306</v>
      </c>
      <c r="H24" s="137" t="s">
        <v>306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80592</v>
      </c>
      <c r="X24" s="138">
        <f>X21</f>
        <v>80592</v>
      </c>
      <c r="Y24" s="138">
        <f t="shared" si="3"/>
        <v>71415.45999999999</v>
      </c>
      <c r="Z24" s="138">
        <f t="shared" si="3"/>
        <v>71415.45999999999</v>
      </c>
      <c r="AA24" s="138" t="s">
        <v>306</v>
      </c>
      <c r="AB24" s="138" t="s">
        <v>306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71415.45999999999</v>
      </c>
      <c r="AR24" s="138">
        <f>AR21</f>
        <v>71415.45999999999</v>
      </c>
    </row>
    <row r="25" spans="1:44" ht="140.25">
      <c r="A25" s="148" t="s">
        <v>328</v>
      </c>
      <c r="B25" s="149" t="s">
        <v>329</v>
      </c>
      <c r="C25" s="149" t="s">
        <v>326</v>
      </c>
      <c r="D25" s="149" t="s">
        <v>310</v>
      </c>
      <c r="E25" s="137">
        <f>W25</f>
        <v>24339</v>
      </c>
      <c r="F25" s="137">
        <f>X25</f>
        <v>24339</v>
      </c>
      <c r="G25" s="137" t="s">
        <v>306</v>
      </c>
      <c r="H25" s="137" t="s">
        <v>306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24339</v>
      </c>
      <c r="X25" s="138">
        <f>X22</f>
        <v>24339</v>
      </c>
      <c r="Y25" s="138">
        <f t="shared" si="3"/>
        <v>20414.25</v>
      </c>
      <c r="Z25" s="138">
        <f t="shared" si="3"/>
        <v>20414.25</v>
      </c>
      <c r="AA25" s="138" t="s">
        <v>306</v>
      </c>
      <c r="AB25" s="138" t="s">
        <v>306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20414.25</v>
      </c>
      <c r="AR25" s="138">
        <f>AR22</f>
        <v>20414.25</v>
      </c>
    </row>
    <row r="26" spans="1:44" ht="76.5">
      <c r="A26" s="154" t="s">
        <v>330</v>
      </c>
      <c r="B26" s="151" t="s">
        <v>331</v>
      </c>
      <c r="C26" s="123" t="s">
        <v>304</v>
      </c>
      <c r="D26" s="124" t="s">
        <v>305</v>
      </c>
      <c r="E26" s="143">
        <f>W26</f>
        <v>114948.95999999999</v>
      </c>
      <c r="F26" s="138">
        <f>X26</f>
        <v>114948.95999999999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114948.95999999999</v>
      </c>
      <c r="X26" s="144">
        <f>X23</f>
        <v>114948.95999999999</v>
      </c>
      <c r="Y26" s="144">
        <f t="shared" si="3"/>
        <v>91829.70999999999</v>
      </c>
      <c r="Z26" s="144">
        <f t="shared" si="3"/>
        <v>91829.70999999999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(1.12)'!F80+'2. Расходы бюджета (1.12)'!F154</f>
        <v>91829.70999999999</v>
      </c>
      <c r="AR26" s="144">
        <f>AR23</f>
        <v>91829.70999999999</v>
      </c>
    </row>
    <row r="27" spans="1:44" ht="25.5">
      <c r="A27" s="291" t="s">
        <v>334</v>
      </c>
      <c r="B27" s="292" t="s">
        <v>335</v>
      </c>
      <c r="C27" s="293" t="s">
        <v>304</v>
      </c>
      <c r="D27" s="294" t="s">
        <v>305</v>
      </c>
      <c r="E27" s="295">
        <f>E28+E29</f>
        <v>2215116.85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2215116.85</v>
      </c>
      <c r="X27" s="296"/>
      <c r="Y27" s="296">
        <f>Y28+Y29</f>
        <v>2056192.08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2056192.08</v>
      </c>
      <c r="AR27" s="296"/>
    </row>
    <row r="28" spans="1:49" ht="76.5">
      <c r="A28" s="150" t="s">
        <v>332</v>
      </c>
      <c r="B28" s="149" t="s">
        <v>336</v>
      </c>
      <c r="C28" s="116" t="s">
        <v>304</v>
      </c>
      <c r="D28" s="147" t="s">
        <v>305</v>
      </c>
      <c r="E28" s="137">
        <f>W28</f>
        <v>1344936.6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f>1303363+41573.6</f>
        <v>1344936.6</v>
      </c>
      <c r="X28" s="138"/>
      <c r="Y28" s="138">
        <f>AQ28</f>
        <v>1344936.6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f>1094936.54+250000.06</f>
        <v>1344936.6</v>
      </c>
      <c r="AR28" s="138"/>
      <c r="AT28" s="233"/>
      <c r="AW28" s="233"/>
    </row>
    <row r="29" spans="1:44" ht="63.75">
      <c r="A29" s="150" t="s">
        <v>333</v>
      </c>
      <c r="B29" s="149" t="s">
        <v>337</v>
      </c>
      <c r="C29" s="116" t="s">
        <v>304</v>
      </c>
      <c r="D29" s="147" t="s">
        <v>305</v>
      </c>
      <c r="E29" s="137">
        <f>W29</f>
        <v>870180.25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f>911753.85-41573.6</f>
        <v>870180.25</v>
      </c>
      <c r="X29" s="138"/>
      <c r="Y29" s="138">
        <f>AQ29</f>
        <v>711255.48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f>683255.48+28000</f>
        <v>711255.48</v>
      </c>
      <c r="AR29" s="137"/>
    </row>
    <row r="30" spans="1:44" ht="25.5">
      <c r="A30" s="122" t="s">
        <v>338</v>
      </c>
      <c r="B30" s="152" t="s">
        <v>339</v>
      </c>
      <c r="C30" s="153" t="s">
        <v>340</v>
      </c>
      <c r="D30" s="157" t="s">
        <v>305</v>
      </c>
      <c r="E30" s="158">
        <f>'2. Расходы бюджета (1.12)'!D123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(1.12)'!F124</f>
        <v>0</v>
      </c>
      <c r="AR30" s="159"/>
    </row>
    <row r="31" spans="1:44" ht="15">
      <c r="A31" s="155" t="s">
        <v>323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341</v>
      </c>
      <c r="B32" s="123" t="s">
        <v>342</v>
      </c>
      <c r="C32" s="153" t="s">
        <v>304</v>
      </c>
      <c r="D32" s="157" t="s">
        <v>305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(1.12)'!D168</f>
        <v>109414.32</v>
      </c>
      <c r="X32" s="159"/>
      <c r="Y32" s="159">
        <f>AQ32</f>
        <v>91178.59999999998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(1.12)'!F157</f>
        <v>91178.59999999998</v>
      </c>
      <c r="AR32" s="159"/>
    </row>
    <row r="33" spans="1:44" ht="102">
      <c r="A33" s="122" t="s">
        <v>343</v>
      </c>
      <c r="B33" s="151" t="s">
        <v>344</v>
      </c>
      <c r="C33" s="157" t="s">
        <v>304</v>
      </c>
      <c r="D33" s="157" t="s">
        <v>305</v>
      </c>
      <c r="E33" s="159">
        <f>W33</f>
        <v>0</v>
      </c>
      <c r="F33" s="138" t="str">
        <f t="shared" si="4"/>
        <v>х</v>
      </c>
      <c r="G33" s="158" t="s">
        <v>306</v>
      </c>
      <c r="H33" s="158" t="s">
        <v>306</v>
      </c>
      <c r="I33" s="159"/>
      <c r="J33" s="159" t="s">
        <v>306</v>
      </c>
      <c r="K33" s="159"/>
      <c r="L33" s="159" t="s">
        <v>306</v>
      </c>
      <c r="M33" s="159"/>
      <c r="N33" s="159" t="s">
        <v>306</v>
      </c>
      <c r="O33" s="159"/>
      <c r="P33" s="159" t="s">
        <v>306</v>
      </c>
      <c r="Q33" s="159"/>
      <c r="R33" s="159" t="s">
        <v>306</v>
      </c>
      <c r="S33" s="159"/>
      <c r="T33" s="159" t="s">
        <v>306</v>
      </c>
      <c r="U33" s="159"/>
      <c r="V33" s="159" t="s">
        <v>306</v>
      </c>
      <c r="W33" s="159">
        <v>0</v>
      </c>
      <c r="X33" s="158" t="s">
        <v>306</v>
      </c>
      <c r="Y33" s="159" t="str">
        <f>AQ33</f>
        <v>х</v>
      </c>
      <c r="Z33" s="158" t="s">
        <v>306</v>
      </c>
      <c r="AA33" s="158" t="s">
        <v>306</v>
      </c>
      <c r="AB33" s="158" t="s">
        <v>306</v>
      </c>
      <c r="AC33" s="158" t="s">
        <v>306</v>
      </c>
      <c r="AD33" s="158" t="s">
        <v>306</v>
      </c>
      <c r="AE33" s="158" t="s">
        <v>306</v>
      </c>
      <c r="AF33" s="158" t="s">
        <v>306</v>
      </c>
      <c r="AG33" s="158" t="s">
        <v>306</v>
      </c>
      <c r="AH33" s="158" t="s">
        <v>306</v>
      </c>
      <c r="AI33" s="158" t="s">
        <v>306</v>
      </c>
      <c r="AJ33" s="158" t="s">
        <v>306</v>
      </c>
      <c r="AK33" s="158" t="s">
        <v>306</v>
      </c>
      <c r="AL33" s="158" t="s">
        <v>306</v>
      </c>
      <c r="AM33" s="158" t="s">
        <v>306</v>
      </c>
      <c r="AN33" s="158" t="s">
        <v>306</v>
      </c>
      <c r="AO33" s="158" t="s">
        <v>306</v>
      </c>
      <c r="AP33" s="158" t="s">
        <v>306</v>
      </c>
      <c r="AQ33" s="158" t="s">
        <v>306</v>
      </c>
      <c r="AR33" s="158" t="s">
        <v>306</v>
      </c>
    </row>
    <row r="34" spans="1:44" ht="69.75" customHeight="1">
      <c r="A34" s="207" t="s">
        <v>450</v>
      </c>
      <c r="B34" s="151" t="s">
        <v>451</v>
      </c>
      <c r="C34" s="157" t="s">
        <v>304</v>
      </c>
      <c r="D34" s="157" t="s">
        <v>305</v>
      </c>
      <c r="E34" s="159">
        <f>W34</f>
        <v>5000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5000</v>
      </c>
      <c r="X34" s="158"/>
      <c r="Y34" s="159">
        <f>AQ34</f>
        <v>4744.06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4744.06</v>
      </c>
      <c r="AR34" s="158"/>
    </row>
    <row r="35" spans="1:44" ht="38.25">
      <c r="A35" s="122" t="s">
        <v>345</v>
      </c>
      <c r="B35" s="152" t="s">
        <v>346</v>
      </c>
      <c r="C35" s="153" t="s">
        <v>304</v>
      </c>
      <c r="D35" s="157" t="s">
        <v>305</v>
      </c>
      <c r="E35" s="159">
        <f>'2. Расходы бюджета (1.12)'!D7-справочная!G35</f>
        <v>4478856.13</v>
      </c>
      <c r="F35" s="138">
        <f>'2. Расходы бюджета (1.12)'!D76</f>
        <v>114948.95999999999</v>
      </c>
      <c r="G35" s="159">
        <f>'2. Расходы бюджета (1.12)'!D40+'2. Расходы бюджета (1.12)'!D42+'2. Расходы бюджета (1.12)'!D63+'2. Расходы бюджета (1.12)'!D175+'2. Расходы бюджета (1.12)'!D65</f>
        <v>5025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4483881.13</v>
      </c>
      <c r="X35" s="159">
        <f>F35</f>
        <v>114948.95999999999</v>
      </c>
      <c r="Y35" s="159">
        <f>'2. Расходы бюджета (1.12)'!F7-AA35</f>
        <v>3904267.39</v>
      </c>
      <c r="Z35" s="159">
        <f>AR35</f>
        <v>91829.70999999999</v>
      </c>
      <c r="AA35" s="159">
        <f>'2. Расходы бюджета (1.12)'!F170+'2. Расходы бюджета (1.12)'!F64+'2. Расходы бюджета (1.12)'!F43+'2. Расходы бюджета (1.12)'!F41+'2. Расходы бюджета (1.12)'!F65</f>
        <v>5025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3909292.39</v>
      </c>
      <c r="AR35" s="159">
        <f>AR26</f>
        <v>91829.70999999999</v>
      </c>
    </row>
    <row r="36" spans="1:44" ht="102">
      <c r="A36" s="163" t="s">
        <v>347</v>
      </c>
      <c r="B36" s="140" t="s">
        <v>348</v>
      </c>
      <c r="C36" s="119" t="s">
        <v>304</v>
      </c>
      <c r="D36" s="116" t="s">
        <v>305</v>
      </c>
      <c r="E36" s="159">
        <f>W36</f>
        <v>114948.95999999999</v>
      </c>
      <c r="F36" s="138">
        <f>F35</f>
        <v>114948.95999999999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114948.95999999999</v>
      </c>
      <c r="X36" s="165">
        <f>X35</f>
        <v>114948.95999999999</v>
      </c>
      <c r="Y36" s="159">
        <f>AQ36</f>
        <v>91829.70999999999</v>
      </c>
      <c r="Z36" s="165">
        <f>AR36</f>
        <v>91829.70999999999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91829.70999999999</v>
      </c>
      <c r="AR36" s="158">
        <f>AR26</f>
        <v>91829.70999999999</v>
      </c>
    </row>
    <row r="37" spans="1:44" ht="38.25">
      <c r="A37" s="122" t="s">
        <v>349</v>
      </c>
      <c r="B37" s="152" t="s">
        <v>350</v>
      </c>
      <c r="C37" s="153" t="s">
        <v>304</v>
      </c>
      <c r="D37" s="157" t="s">
        <v>305</v>
      </c>
      <c r="E37" s="159" t="str">
        <f aca="true" t="shared" si="5" ref="E37:E42">W37</f>
        <v>х</v>
      </c>
      <c r="F37" s="164" t="s">
        <v>306</v>
      </c>
      <c r="G37" s="164" t="s">
        <v>306</v>
      </c>
      <c r="H37" s="164" t="s">
        <v>306</v>
      </c>
      <c r="I37" s="164" t="s">
        <v>306</v>
      </c>
      <c r="J37" s="164" t="s">
        <v>306</v>
      </c>
      <c r="K37" s="164" t="s">
        <v>306</v>
      </c>
      <c r="L37" s="164" t="s">
        <v>306</v>
      </c>
      <c r="M37" s="164" t="s">
        <v>306</v>
      </c>
      <c r="N37" s="164" t="s">
        <v>306</v>
      </c>
      <c r="O37" s="164" t="s">
        <v>306</v>
      </c>
      <c r="P37" s="164" t="s">
        <v>306</v>
      </c>
      <c r="Q37" s="164" t="s">
        <v>306</v>
      </c>
      <c r="R37" s="164" t="s">
        <v>306</v>
      </c>
      <c r="S37" s="164" t="s">
        <v>306</v>
      </c>
      <c r="T37" s="164" t="s">
        <v>306</v>
      </c>
      <c r="U37" s="164" t="s">
        <v>306</v>
      </c>
      <c r="V37" s="164" t="s">
        <v>306</v>
      </c>
      <c r="W37" s="164" t="s">
        <v>306</v>
      </c>
      <c r="X37" s="164" t="s">
        <v>306</v>
      </c>
      <c r="Y37" s="159">
        <f>AQ37</f>
        <v>537465.2799999996</v>
      </c>
      <c r="Z37" s="159">
        <f>Z39</f>
        <v>23119.25</v>
      </c>
      <c r="AA37" s="158" t="s">
        <v>306</v>
      </c>
      <c r="AB37" s="158" t="s">
        <v>306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974979.7+'2. Расходы бюджета (1.12)'!F178</f>
        <v>537465.2799999996</v>
      </c>
      <c r="AR37" s="159">
        <f>Z37</f>
        <v>23119.25</v>
      </c>
    </row>
    <row r="38" spans="1:44" ht="15">
      <c r="A38" s="189" t="s">
        <v>323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351</v>
      </c>
      <c r="B39" s="149" t="s">
        <v>352</v>
      </c>
      <c r="C39" s="116" t="s">
        <v>304</v>
      </c>
      <c r="D39" s="116" t="s">
        <v>305</v>
      </c>
      <c r="E39" s="159" t="str">
        <f t="shared" si="5"/>
        <v>х</v>
      </c>
      <c r="F39" s="166" t="s">
        <v>306</v>
      </c>
      <c r="G39" s="166" t="s">
        <v>306</v>
      </c>
      <c r="H39" s="166" t="s">
        <v>306</v>
      </c>
      <c r="I39" s="166" t="s">
        <v>306</v>
      </c>
      <c r="J39" s="166" t="s">
        <v>306</v>
      </c>
      <c r="K39" s="166" t="s">
        <v>306</v>
      </c>
      <c r="L39" s="166" t="s">
        <v>306</v>
      </c>
      <c r="M39" s="166" t="s">
        <v>306</v>
      </c>
      <c r="N39" s="166" t="s">
        <v>306</v>
      </c>
      <c r="O39" s="166" t="s">
        <v>306</v>
      </c>
      <c r="P39" s="166" t="s">
        <v>306</v>
      </c>
      <c r="Q39" s="166" t="s">
        <v>306</v>
      </c>
      <c r="R39" s="166" t="s">
        <v>306</v>
      </c>
      <c r="S39" s="166" t="s">
        <v>306</v>
      </c>
      <c r="T39" s="166" t="s">
        <v>306</v>
      </c>
      <c r="U39" s="166" t="s">
        <v>306</v>
      </c>
      <c r="V39" s="166" t="s">
        <v>306</v>
      </c>
      <c r="W39" s="166" t="s">
        <v>306</v>
      </c>
      <c r="X39" s="166" t="s">
        <v>306</v>
      </c>
      <c r="Y39" s="165">
        <f>AQ39</f>
        <v>23119.25</v>
      </c>
      <c r="Z39" s="165">
        <f>AR39</f>
        <v>23119.25</v>
      </c>
      <c r="AA39" s="165" t="s">
        <v>306</v>
      </c>
      <c r="AB39" s="165" t="s">
        <v>306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(1.12)'!F80</f>
        <v>23119.25</v>
      </c>
      <c r="AR39" s="165">
        <f>AQ39</f>
        <v>23119.25</v>
      </c>
    </row>
    <row r="40" spans="1:44" ht="27.75" customHeight="1">
      <c r="A40" s="280" t="s">
        <v>367</v>
      </c>
      <c r="B40" s="281" t="s">
        <v>368</v>
      </c>
      <c r="C40" s="282" t="s">
        <v>305</v>
      </c>
      <c r="D40" s="282" t="s">
        <v>305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32000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32000</v>
      </c>
      <c r="AR40" s="289"/>
    </row>
    <row r="41" spans="1:44" ht="118.5" customHeight="1">
      <c r="A41" s="203" t="s">
        <v>446</v>
      </c>
      <c r="B41" s="190" t="s">
        <v>411</v>
      </c>
      <c r="C41" s="191" t="s">
        <v>305</v>
      </c>
      <c r="D41" s="191" t="s">
        <v>305</v>
      </c>
      <c r="E41" s="283">
        <f t="shared" si="5"/>
        <v>0</v>
      </c>
      <c r="F41" s="166">
        <v>0</v>
      </c>
      <c r="G41" s="166">
        <v>0</v>
      </c>
      <c r="H41" s="192" t="s">
        <v>412</v>
      </c>
      <c r="I41" s="185" t="s">
        <v>413</v>
      </c>
      <c r="J41" s="185" t="s">
        <v>414</v>
      </c>
      <c r="K41" s="185" t="s">
        <v>415</v>
      </c>
      <c r="L41" s="185" t="s">
        <v>416</v>
      </c>
      <c r="M41" s="185" t="s">
        <v>417</v>
      </c>
      <c r="N41" s="185" t="s">
        <v>418</v>
      </c>
      <c r="O41" s="185" t="s">
        <v>419</v>
      </c>
      <c r="P41" s="185" t="s">
        <v>420</v>
      </c>
      <c r="Q41" s="185" t="s">
        <v>421</v>
      </c>
      <c r="R41" s="185" t="s">
        <v>422</v>
      </c>
      <c r="S41" s="185" t="s">
        <v>423</v>
      </c>
      <c r="T41" s="185" t="s">
        <v>424</v>
      </c>
      <c r="U41" s="185" t="s">
        <v>425</v>
      </c>
      <c r="V41" s="185"/>
      <c r="W41" s="287"/>
      <c r="X41" s="193">
        <v>0</v>
      </c>
      <c r="Y41" s="165">
        <f>AQ41</f>
        <v>32000</v>
      </c>
      <c r="Z41" s="165">
        <v>0</v>
      </c>
      <c r="AA41" s="194">
        <v>0</v>
      </c>
      <c r="AB41" s="158">
        <v>0</v>
      </c>
      <c r="AC41" s="194" t="s">
        <v>412</v>
      </c>
      <c r="AD41" s="195" t="s">
        <v>413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(1.12)'!F132</f>
        <v>32000</v>
      </c>
      <c r="AR41" s="165"/>
    </row>
    <row r="42" spans="1:44" ht="72" customHeight="1">
      <c r="A42" s="203" t="s">
        <v>445</v>
      </c>
      <c r="B42" s="190" t="s">
        <v>439</v>
      </c>
      <c r="C42" s="191" t="s">
        <v>305</v>
      </c>
      <c r="D42" s="191" t="s">
        <v>305</v>
      </c>
      <c r="E42" s="159">
        <f t="shared" si="5"/>
        <v>0</v>
      </c>
      <c r="F42" s="166">
        <v>0</v>
      </c>
      <c r="G42" s="185">
        <v>0</v>
      </c>
      <c r="H42" s="192" t="s">
        <v>412</v>
      </c>
      <c r="I42" s="185" t="s">
        <v>413</v>
      </c>
      <c r="J42" s="185" t="s">
        <v>414</v>
      </c>
      <c r="K42" s="185" t="s">
        <v>415</v>
      </c>
      <c r="L42" s="185" t="s">
        <v>416</v>
      </c>
      <c r="M42" s="185" t="s">
        <v>417</v>
      </c>
      <c r="N42" s="185" t="s">
        <v>418</v>
      </c>
      <c r="O42" s="185" t="s">
        <v>419</v>
      </c>
      <c r="P42" s="185" t="s">
        <v>420</v>
      </c>
      <c r="Q42" s="185" t="s">
        <v>421</v>
      </c>
      <c r="R42" s="185" t="s">
        <v>422</v>
      </c>
      <c r="S42" s="185" t="s">
        <v>423</v>
      </c>
      <c r="T42" s="185" t="s">
        <v>424</v>
      </c>
      <c r="U42" s="185" t="s">
        <v>425</v>
      </c>
      <c r="V42" s="185" t="s">
        <v>426</v>
      </c>
      <c r="W42" s="165">
        <f>'2. Расходы бюджета (1.12)'!D138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412</v>
      </c>
      <c r="AD42" s="195" t="s">
        <v>413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(1.12)'!F138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432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64" t="s">
        <v>454</v>
      </c>
      <c r="P44" s="364"/>
      <c r="Q44" s="364"/>
      <c r="R44" s="364"/>
      <c r="S44" s="364"/>
      <c r="T44" s="364"/>
      <c r="U44" s="364"/>
      <c r="V44" s="364"/>
      <c r="W44" s="364"/>
      <c r="X44" s="364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65" t="s">
        <v>353</v>
      </c>
      <c r="G45" s="365"/>
      <c r="H45" s="365"/>
      <c r="I45" s="366"/>
      <c r="J45" s="366"/>
      <c r="K45" s="172"/>
      <c r="L45" s="176"/>
      <c r="M45" s="172"/>
      <c r="N45" s="367" t="s">
        <v>354</v>
      </c>
      <c r="O45" s="367"/>
      <c r="P45" s="367"/>
      <c r="Q45" s="367"/>
      <c r="R45" s="367"/>
      <c r="S45" s="367"/>
      <c r="T45" s="367"/>
      <c r="U45" s="367"/>
      <c r="V45" s="367"/>
      <c r="W45" s="367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01.12.2023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  <mergeCell ref="AQ6:AR6"/>
    <mergeCell ref="AA6:AB6"/>
    <mergeCell ref="AC11:AD11"/>
    <mergeCell ref="AE11:AF11"/>
    <mergeCell ref="AK11:AL11"/>
    <mergeCell ref="AM11:AN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Q11:R11"/>
    <mergeCell ref="S11:T11"/>
    <mergeCell ref="AQ8:AR8"/>
    <mergeCell ref="Y11:Z11"/>
    <mergeCell ref="AA11:AB11"/>
    <mergeCell ref="W8:X8"/>
    <mergeCell ref="Z8:AB8"/>
    <mergeCell ref="AQ11:AR11"/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2022-11-01T07:15:42Z</cp:lastPrinted>
  <dcterms:created xsi:type="dcterms:W3CDTF">2002-10-08T15:02:13Z</dcterms:created>
  <dcterms:modified xsi:type="dcterms:W3CDTF">2023-12-04T07:29:30Z</dcterms:modified>
  <cp:category/>
  <cp:version/>
  <cp:contentType/>
  <cp:contentStatus/>
</cp:coreProperties>
</file>